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tabRatio="968" activeTab="13"/>
  </bookViews>
  <sheets>
    <sheet name="Q1-2" sheetId="1" r:id="rId1"/>
    <sheet name="Q7" sheetId="2" r:id="rId2"/>
    <sheet name="Q10" sheetId="3" r:id="rId3"/>
    <sheet name="Q12" sheetId="4" r:id="rId4"/>
    <sheet name="Q14" sheetId="5" r:id="rId5"/>
    <sheet name="Q17" sheetId="6" r:id="rId6"/>
    <sheet name="Q18" sheetId="7" r:id="rId7"/>
    <sheet name="Q20" sheetId="8" r:id="rId8"/>
    <sheet name="Q22-23" sheetId="9" r:id="rId9"/>
    <sheet name="Q25" sheetId="10" r:id="rId10"/>
    <sheet name="Q27-28" sheetId="11" r:id="rId11"/>
    <sheet name="Q29" sheetId="12" r:id="rId12"/>
    <sheet name="Q30" sheetId="13" r:id="rId13"/>
    <sheet name="Q3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<sst xmlns="http://schemas.openxmlformats.org/spreadsheetml/2006/main" count="351" uniqueCount="247">
  <si>
    <t>selling price</t>
  </si>
  <si>
    <t>per unit</t>
  </si>
  <si>
    <t>total</t>
  </si>
  <si>
    <t>sales</t>
  </si>
  <si>
    <t>net op.inc.</t>
  </si>
  <si>
    <t>bep sales</t>
  </si>
  <si>
    <t>direct materials</t>
  </si>
  <si>
    <t>costs</t>
  </si>
  <si>
    <t>production</t>
  </si>
  <si>
    <t xml:space="preserve">        differential costs (*)</t>
  </si>
  <si>
    <t xml:space="preserve">   total differential costs</t>
  </si>
  <si>
    <t xml:space="preserve">cost </t>
  </si>
  <si>
    <t>make</t>
  </si>
  <si>
    <t>buy</t>
  </si>
  <si>
    <t>varn.man.OH</t>
  </si>
  <si>
    <t>outside purch.price</t>
  </si>
  <si>
    <t>difference in favor of buy</t>
  </si>
  <si>
    <t>relevant in unit product cost:</t>
  </si>
  <si>
    <t>ad.(*): het gaat in make-buy altijd om 'diferential' t.o.v. het andere alternatief</t>
  </si>
  <si>
    <t>opportunity costs</t>
  </si>
  <si>
    <t>Product cost</t>
  </si>
  <si>
    <t>Period cost</t>
  </si>
  <si>
    <t>Variable cost</t>
  </si>
  <si>
    <t>Fixed cost</t>
  </si>
  <si>
    <t>Direct materials</t>
  </si>
  <si>
    <t>Direct Labour</t>
  </si>
  <si>
    <t>Opportunity cost</t>
  </si>
  <si>
    <t>Sunk Cost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</si>
  <si>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</si>
  <si>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</si>
  <si>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</si>
  <si>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</si>
  <si>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</si>
  <si>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</si>
  <si>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</si>
  <si>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</si>
  <si>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</si>
  <si>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</si>
  <si>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variable expenses</t>
  </si>
  <si>
    <t>CM-ratio</t>
  </si>
  <si>
    <t>NB:</t>
  </si>
  <si>
    <t>Mfg. Overhead</t>
  </si>
  <si>
    <t>(Selling and administrative costs)</t>
  </si>
  <si>
    <t>Advertising costs fee per month</t>
  </si>
  <si>
    <t>Wages of workers at a labour rate per product</t>
  </si>
  <si>
    <t>Present salary per month</t>
  </si>
  <si>
    <t>Rent of manufacturing facility per month</t>
  </si>
  <si>
    <t>Raw materials per product</t>
  </si>
  <si>
    <t>Sales commision per product</t>
  </si>
  <si>
    <t>Lease of production equipment per month</t>
  </si>
  <si>
    <t>Start-up costs paid already</t>
  </si>
  <si>
    <t>Rent of sales office per month</t>
  </si>
  <si>
    <t>Distribution costs per product</t>
  </si>
  <si>
    <t>Money savings: interest per month</t>
  </si>
  <si>
    <t>Totals:</t>
  </si>
  <si>
    <t>taken together</t>
  </si>
  <si>
    <t>product costs</t>
  </si>
  <si>
    <t>Advertising expenses</t>
  </si>
  <si>
    <t>Salary of production supervisor</t>
  </si>
  <si>
    <t>Rent on factory equipment</t>
  </si>
  <si>
    <t>Sales commissions</t>
  </si>
  <si>
    <t>Indirect materials</t>
  </si>
  <si>
    <t>machine hours</t>
  </si>
  <si>
    <t>direct labour</t>
  </si>
  <si>
    <t>Direct labour</t>
  </si>
  <si>
    <t>labour hours</t>
  </si>
  <si>
    <t>ABC:</t>
  </si>
  <si>
    <t>activity</t>
  </si>
  <si>
    <t>rate</t>
  </si>
  <si>
    <t>machine</t>
  </si>
  <si>
    <t>batches</t>
  </si>
  <si>
    <t>traditional:</t>
  </si>
  <si>
    <t>Cost-data three products:</t>
  </si>
  <si>
    <t>Annual production</t>
  </si>
  <si>
    <t>Material cost per unit</t>
  </si>
  <si>
    <t>Direct labour cost per unit</t>
  </si>
  <si>
    <t>ABC-data three products:</t>
  </si>
  <si>
    <t>Number of set-ups</t>
  </si>
  <si>
    <t>Machine maintenance (hours)</t>
  </si>
  <si>
    <t>Number of purchases</t>
  </si>
  <si>
    <t>Number of shipments</t>
  </si>
  <si>
    <t>ABC-data for all products:</t>
  </si>
  <si>
    <t>Annual</t>
  </si>
  <si>
    <t>cost</t>
  </si>
  <si>
    <t>volume</t>
  </si>
  <si>
    <t>ABC-data three products</t>
  </si>
  <si>
    <t>Rate</t>
  </si>
  <si>
    <t>Total manufacturing overhead</t>
  </si>
  <si>
    <t>Manufacturing overhead per unit</t>
  </si>
  <si>
    <t>Costs per product:</t>
  </si>
  <si>
    <t>Direct labour costs per unit</t>
  </si>
  <si>
    <t>Total costs per product:</t>
  </si>
  <si>
    <t>Cost of goods sold</t>
  </si>
  <si>
    <t>increase:</t>
  </si>
  <si>
    <t>Cost of goods sold:</t>
  </si>
  <si>
    <t>revenues</t>
  </si>
  <si>
    <t>cash inflow</t>
  </si>
  <si>
    <t>cash outflow</t>
  </si>
  <si>
    <t>Totals</t>
  </si>
  <si>
    <t>Results</t>
  </si>
  <si>
    <t>actual Q</t>
  </si>
  <si>
    <t>standard Q</t>
  </si>
  <si>
    <t>* actual P</t>
  </si>
  <si>
    <t>* standard P</t>
  </si>
  <si>
    <t>*standard P</t>
  </si>
  <si>
    <t>standard P</t>
  </si>
  <si>
    <t>stand. Q*P</t>
  </si>
  <si>
    <t>Name of the cost (all in €)</t>
  </si>
  <si>
    <t>unit</t>
  </si>
  <si>
    <t>12.</t>
  </si>
  <si>
    <t>variable costs</t>
  </si>
  <si>
    <t xml:space="preserve"> </t>
  </si>
  <si>
    <t>fix.man.OH - traceable</t>
  </si>
  <si>
    <t>fix.man.OH - common</t>
  </si>
  <si>
    <t>X</t>
  </si>
  <si>
    <t>Y</t>
  </si>
  <si>
    <t>Z</t>
  </si>
  <si>
    <t>CM per unit</t>
  </si>
  <si>
    <t>Q</t>
  </si>
  <si>
    <t>P</t>
  </si>
  <si>
    <t>man.OH</t>
  </si>
  <si>
    <t>sub-total</t>
  </si>
  <si>
    <t>- rate per hour</t>
  </si>
  <si>
    <t>- hours</t>
  </si>
  <si>
    <t>products</t>
  </si>
  <si>
    <t>standard rate per hour</t>
  </si>
  <si>
    <t>number of products produced</t>
  </si>
  <si>
    <t>number of products sold</t>
  </si>
  <si>
    <t>page 12</t>
  </si>
  <si>
    <t>Current</t>
  </si>
  <si>
    <t>New</t>
  </si>
  <si>
    <t>Sales</t>
  </si>
  <si>
    <t>sales in quantity per month</t>
  </si>
  <si>
    <t>selling price per product</t>
  </si>
  <si>
    <t>Coffee and supplies per product</t>
  </si>
  <si>
    <t>Direct labor</t>
  </si>
  <si>
    <t>labor costs per product</t>
  </si>
  <si>
    <t>Depreciation machine</t>
  </si>
  <si>
    <t>Original cost</t>
  </si>
  <si>
    <t>Expected life (in months)</t>
  </si>
  <si>
    <t>Book value at disposal</t>
  </si>
  <si>
    <t>Depreciation each month</t>
  </si>
  <si>
    <t>Selling / marketing</t>
  </si>
  <si>
    <t>sales labor costs per month</t>
  </si>
  <si>
    <t>sales labor costs per product</t>
  </si>
  <si>
    <t>Administrative costs (monthly)</t>
  </si>
  <si>
    <t>Rent office</t>
  </si>
  <si>
    <t>License</t>
  </si>
  <si>
    <t>Differential costs and benefits during 18 months</t>
  </si>
  <si>
    <t>Mobile phone etc.</t>
  </si>
  <si>
    <t>Sub-total</t>
  </si>
  <si>
    <t>Reduction in variable expenses</t>
  </si>
  <si>
    <t>List price new machine</t>
  </si>
  <si>
    <t>Disposal value after 6 months</t>
  </si>
  <si>
    <t>Disposal value new machine</t>
  </si>
  <si>
    <t xml:space="preserve">(Adjusted) disp.value old mach. </t>
  </si>
  <si>
    <t>Net advantage of new machine</t>
  </si>
  <si>
    <t>The facts (in general)</t>
  </si>
  <si>
    <t>Alt. III</t>
  </si>
  <si>
    <t>Alt. V</t>
  </si>
  <si>
    <t>after 6 months</t>
  </si>
  <si>
    <t>sales in total per month</t>
  </si>
  <si>
    <t>Depreciation</t>
  </si>
  <si>
    <t>Remaining book val. after 6 months</t>
  </si>
  <si>
    <t>Dispoasal value after 6 months</t>
  </si>
  <si>
    <t>Loss if disposed after 6 months</t>
  </si>
  <si>
    <t>TOTALS:</t>
  </si>
  <si>
    <t>THE JOB:</t>
  </si>
  <si>
    <t>=</t>
  </si>
  <si>
    <t>batch</t>
  </si>
  <si>
    <t>variable cost</t>
  </si>
  <si>
    <t>total CM on lost sales:</t>
  </si>
  <si>
    <t>capacity</t>
  </si>
  <si>
    <t>idle capacity</t>
  </si>
  <si>
    <t>lost sales</t>
  </si>
  <si>
    <t>CM per unit:</t>
  </si>
  <si>
    <t>CM lost sales in total</t>
  </si>
  <si>
    <t>average CM lost sales</t>
  </si>
  <si>
    <t>transferprice at least to cover opportunity costs</t>
  </si>
  <si>
    <t>outside selling price</t>
  </si>
  <si>
    <t>profit</t>
  </si>
  <si>
    <t>profit shared by two divisions</t>
  </si>
  <si>
    <t>number of divisions</t>
  </si>
  <si>
    <t>direct labor</t>
  </si>
  <si>
    <t>standard time in hours</t>
  </si>
  <si>
    <t>actual hours used</t>
  </si>
  <si>
    <t>efficiency variance in hours per product</t>
  </si>
  <si>
    <t>efficiency variance in hours in total</t>
  </si>
  <si>
    <t>efficiency variance in € in hours:</t>
  </si>
  <si>
    <t>redelijk goede afleider</t>
  </si>
  <si>
    <t>beginning stock</t>
  </si>
  <si>
    <t>ending stock</t>
  </si>
  <si>
    <t>manufactured</t>
  </si>
  <si>
    <t>value ending stock</t>
  </si>
  <si>
    <t>Needed for production:</t>
  </si>
  <si>
    <t xml:space="preserve">   production in units product</t>
  </si>
  <si>
    <t xml:space="preserve">   kilos per unit product</t>
  </si>
  <si>
    <t xml:space="preserve">   kilos needed for production</t>
  </si>
  <si>
    <t>Required ending stock in kilos</t>
  </si>
  <si>
    <t>Total raw materials needed in kilos</t>
  </si>
  <si>
    <t>X1</t>
  </si>
  <si>
    <t>X2</t>
  </si>
  <si>
    <t>X3</t>
  </si>
  <si>
    <t>X4</t>
  </si>
  <si>
    <t>10000 prod en 75% verkoop</t>
  </si>
  <si>
    <t>5000 prod en 5000 verkoop</t>
  </si>
  <si>
    <t>ten's of units</t>
  </si>
  <si>
    <t>Jupiter</t>
  </si>
  <si>
    <t>Mars</t>
  </si>
  <si>
    <t>Saturn</t>
  </si>
  <si>
    <t>Sales Nov</t>
  </si>
  <si>
    <t>Sales Oct</t>
  </si>
  <si>
    <t>Selling and administrative expenses for Nov</t>
  </si>
  <si>
    <t>Budgeted depreciation for Nov</t>
  </si>
  <si>
    <t>Merchandise inventory on October 31</t>
  </si>
  <si>
    <t>Planned merchandise inventory on Nov 31</t>
  </si>
  <si>
    <t>Purchases merchandise Nov</t>
  </si>
  <si>
    <t>Cash balance November 1</t>
  </si>
  <si>
    <t>Cash balance November 30</t>
  </si>
  <si>
    <t>contribution margin</t>
  </si>
  <si>
    <t>Company segments</t>
  </si>
  <si>
    <t xml:space="preserve">Sales </t>
  </si>
  <si>
    <t>1. Sales=Turnover x Assets</t>
  </si>
  <si>
    <t>Net operating profit</t>
  </si>
  <si>
    <t>2. Profit= Margin x Sales</t>
  </si>
  <si>
    <t>Average operating assets</t>
  </si>
  <si>
    <t>Margin= Profit/Sales</t>
  </si>
  <si>
    <t>Turnover=Sales/Assets</t>
  </si>
  <si>
    <t>ROI= Profit/Assets= Margin x Turnover</t>
  </si>
  <si>
    <t>controle</t>
  </si>
  <si>
    <t>Friesland</t>
  </si>
  <si>
    <t>Groningen</t>
  </si>
  <si>
    <t>Drenthe</t>
  </si>
  <si>
    <t>WACC</t>
  </si>
  <si>
    <t>sales revenue</t>
  </si>
  <si>
    <t>fixed costs</t>
  </si>
  <si>
    <t>av op assets</t>
  </si>
  <si>
    <t>net op profit</t>
  </si>
  <si>
    <t>required</t>
  </si>
  <si>
    <t>actual</t>
  </si>
  <si>
    <t>RI</t>
  </si>
  <si>
    <t>Margin of safety</t>
  </si>
  <si>
    <t>Contribution margin</t>
  </si>
  <si>
    <t>variable costs for delivery to Sports:</t>
  </si>
  <si>
    <t>request Sports</t>
  </si>
  <si>
    <t>Selling price between Sports and Clay:</t>
  </si>
  <si>
    <t>total variable cost finished product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</si>
</sst>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-&quot;€&quot;\ * #,##0_-;_-&quot;€&quot;\ * #,##0\-;_-&quot;€&quot;\ * &quot;-&quot;_-;_-@_-"/>
    <numFmt numFmtId="179" formatCode="_-* #,##0_-;_-* #,##0\-;_-* &quot;-&quot;_-;_-@_-"/>
    <numFmt numFmtId="180" formatCode="_-&quot;€&quot;\ * #,##0.00_-;_-&quot;€&quot;\ * #,##0.00\-;_-&quot;€&quot;\ * &quot;-&quot;??_-;_-@_-"/>
    <numFmt numFmtId="181" formatCode="_-* #,##0.00_-;_-* #,##0.00\-;_-* &quot;-&quot;??_-;_-@_-"/>
    <numFmt numFmtId="182" formatCode="_-* #,##0.0000_-;_-* #,##0.0000\-;_-* &quot;-&quot;??_-;_-@_-"/>
    <numFmt numFmtId="183" formatCode="_-* #,##0_-;_-* #,##0\-;_-* &quot;-&quot;??_-;_-@_-"/>
    <numFmt numFmtId="184" formatCode="&quot;€&quot;\ #,##0_-"/>
    <numFmt numFmtId="185" formatCode="&quot;€&quot;\ #,##0.00_-"/>
    <numFmt numFmtId="186" formatCode="&quot;€&quot;\ #,##0.00000_-"/>
    <numFmt numFmtId="187" formatCode="_ * #,##0_ ;_ * \-#,##0_ ;_ * &quot;-&quot;??_ ;_ @_ "/>
    <numFmt numFmtId="188" formatCode="_ * #,##0.000_ ;_ * \-#,##0.000_ ;_ * &quot;-&quot;??_ ;_ @_ "/>
    <numFmt numFmtId="189" formatCode="0.00000%"/>
    <numFmt numFmtId="190" formatCode="0.0000"/>
    <numFmt numFmtId="191" formatCode="_-* #,##0.000_-;_-* #,##0.000\-;_-* &quot;-&quot;??_-;_-@_-"/>
    <numFmt numFmtId="192" formatCode="_-&quot;€&quot;\ * #,##0_-;_-&quot;€&quot;\ * #,##0\-;_-&quot;€&quot;\ * &quot;-&quot;??_-;_-@_-"/>
    <numFmt numFmtId="193" formatCode="_-&quot;€&quot;\ * #,##0.0000_-;_-&quot;€&quot;\ * #,##0.0000\-;_-&quot;€&quot;\ * &quot;-&quot;??_-;_-@_-"/>
    <numFmt numFmtId="194" formatCode="&quot;€&quot;\ #,##0.000000_-"/>
    <numFmt numFmtId="195" formatCode="0.00000"/>
    <numFmt numFmtId="196" formatCode="_-* #,##0.00000_-;_-* #,##0.00000\-;_-* &quot;-&quot;??_-;_-@_-"/>
    <numFmt numFmtId="197" formatCode="_ &quot;€&quot;\ * #,##0_ ;_ &quot;€&quot;\ * \-#,##0_ ;_ &quot;€&quot;\ * &quot;-&quot;??_ ;_ @_ "/>
    <numFmt numFmtId="198" formatCode="0.00000000"/>
    <numFmt numFmtId="199" formatCode="_-&quot;€&quot;\ * #,##0.0_-;_-&quot;€&quot;\ * #,##0.0\-;_-&quot;€&quot;\ * &quot;-&quot;??_-;_-@_-"/>
    <numFmt numFmtId="200" formatCode="_-&quot;€&quot;\ * #,##0.000_-;_-&quot;€&quot;\ * #,##0.000\-;_-&quot;€&quot;\ * &quot;-&quot;??_-;_-@_-"/>
    <numFmt numFmtId="201" formatCode="_ &quot;€&quot;\ * #,##0.0000_ ;_ &quot;€&quot;\ * \-#,##0.0000_ ;_ &quot;€&quot;\ * &quot;-&quot;????_ ;_ @_ "/>
    <numFmt numFmtId="202" formatCode="_ &quot;€&quot;\ * #,##0.000_ ;_ &quot;€&quot;\ * \-#,##0.000_ ;_ &quot;€&quot;\ * &quot;-&quot;????_ ;_ @_ "/>
    <numFmt numFmtId="203" formatCode="_ &quot;€&quot;\ * #,##0.00_ ;_ &quot;€&quot;\ * \-#,##0.00_ ;_ &quot;€&quot;\ * &quot;-&quot;????_ ;_ @_ "/>
    <numFmt numFmtId="204" formatCode="_ &quot;€&quot;\ * #,##0.0_ ;_ &quot;€&quot;\ * \-#,##0.0_ ;_ &quot;€&quot;\ * &quot;-&quot;????_ ;_ @_ "/>
    <numFmt numFmtId="205" formatCode="_ &quot;€&quot;\ * #,##0_ ;_ &quot;€&quot;\ * \-#,##0_ ;_ &quot;€&quot;\ * &quot;-&quot;????_ ;_ @_ "/>
    <numFmt numFmtId="206" formatCode="_-&quot;€&quot;\ * #,##0.00000_-;_-&quot;€&quot;\ * #,##0.00000\-;_-&quot;€&quot;\ * &quot;-&quot;??_-;_-@_-"/>
    <numFmt numFmtId="207" formatCode="_-&quot;€&quot;\ * #,##0.000000_-;_-&quot;€&quot;\ * #,##0.000000\-;_-&quot;€&quot;\ * &quot;-&quot;??_-;_-@_-"/>
    <numFmt numFmtId="208" formatCode="_ * #,##0.0_ ;_ * \-#,##0.0_ ;_ * &quot;-&quot;??_ ;_ @_ "/>
    <numFmt numFmtId="209" formatCode="_ * #,##0.0000_ ;_ * \-#,##0.0000_ ;_ * &quot;-&quot;??_ ;_ @_ "/>
    <numFmt numFmtId="210" formatCode="_ [$€-2]\ * #,##0_ ;_ [$€-2]\ * \-#,##0_ ;_ [$€-2]\ * &quot;-&quot;??_ ;_ @_ "/>
    <numFmt numFmtId="211" formatCode="_ [$€-413]\ * #,##0_ ;_ [$€-413]\ * \-#,##0_ ;_ [$€-413]\ * &quot;-&quot;??_ ;_ @_ "/>
    <numFmt numFmtId="212" formatCode="0.0000000"/>
    <numFmt numFmtId="213" formatCode="0.000000"/>
    <numFmt numFmtId="214" formatCode="0.000"/>
    <numFmt numFmtId="215" formatCode="&quot;Ja&quot;;&quot;Ja&quot;;&quot;Nee&quot;"/>
    <numFmt numFmtId="216" formatCode="&quot;Waar&quot;;&quot;Waar&quot;;&quot;Onwaar&quot;"/>
    <numFmt numFmtId="217" formatCode="&quot;Aan&quot;;&quot;Aan&quot;;&quot;Uit&quot;"/>
    <numFmt numFmtId="218" formatCode="[$€-2]\ #.##000_);[Red]\([$€-2]\ #.##000\)"/>
    <numFmt numFmtId="219" formatCode="0.0%"/>
    <numFmt numFmtId="220" formatCode="0.000%"/>
    <numFmt numFmtId="221" formatCode="&quot;€&quot;\ #,##0.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right"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>
      <alignment/>
    </xf>
    <xf numFmtId="181" fontId="0" fillId="0" borderId="0" xfId="42" applyFont="1" applyAlignment="1">
      <alignment/>
    </xf>
    <xf numFmtId="183" fontId="0" fillId="0" borderId="10" xfId="42" applyNumberFormat="1" applyFont="1" applyBorder="1" applyAlignment="1">
      <alignment/>
    </xf>
    <xf numFmtId="181" fontId="0" fillId="0" borderId="10" xfId="42" applyFont="1" applyBorder="1" applyAlignment="1">
      <alignment/>
    </xf>
    <xf numFmtId="181" fontId="0" fillId="0" borderId="0" xfId="42" applyFont="1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1" fontId="0" fillId="0" borderId="11" xfId="42" applyFont="1" applyBorder="1" applyAlignment="1">
      <alignment/>
    </xf>
    <xf numFmtId="181" fontId="0" fillId="0" borderId="12" xfId="42" applyFont="1" applyBorder="1" applyAlignment="1">
      <alignment/>
    </xf>
    <xf numFmtId="0" fontId="0" fillId="0" borderId="0" xfId="0" applyBorder="1" applyAlignment="1">
      <alignment/>
    </xf>
    <xf numFmtId="183" fontId="0" fillId="0" borderId="10" xfId="42" applyNumberFormat="1" applyFont="1" applyBorder="1" applyAlignment="1">
      <alignment/>
    </xf>
    <xf numFmtId="9" fontId="0" fillId="0" borderId="0" xfId="67" applyFont="1" applyAlignment="1">
      <alignment/>
    </xf>
    <xf numFmtId="0" fontId="0" fillId="0" borderId="0" xfId="0" applyFill="1" applyBorder="1" applyAlignment="1">
      <alignment/>
    </xf>
    <xf numFmtId="183" fontId="0" fillId="0" borderId="0" xfId="42" applyNumberFormat="1" applyFont="1" applyAlignment="1">
      <alignment/>
    </xf>
    <xf numFmtId="9" fontId="0" fillId="0" borderId="0" xfId="67" applyFont="1" applyFill="1" applyAlignment="1">
      <alignment/>
    </xf>
    <xf numFmtId="183" fontId="0" fillId="0" borderId="0" xfId="42" applyNumberFormat="1" applyFont="1" applyFill="1" applyAlignment="1">
      <alignment/>
    </xf>
    <xf numFmtId="183" fontId="0" fillId="32" borderId="10" xfId="42" applyNumberFormat="1" applyFont="1" applyFill="1" applyBorder="1" applyAlignment="1">
      <alignment/>
    </xf>
    <xf numFmtId="0" fontId="1" fillId="0" borderId="0" xfId="64">
      <alignment/>
      <protection/>
    </xf>
    <xf numFmtId="0" fontId="1" fillId="0" borderId="13" xfId="64" applyBorder="1" applyAlignment="1">
      <alignment wrapText="1"/>
      <protection/>
    </xf>
    <xf numFmtId="0" fontId="1" fillId="0" borderId="0" xfId="64" applyBorder="1" applyAlignment="1">
      <alignment wrapText="1"/>
      <protection/>
    </xf>
    <xf numFmtId="0" fontId="1" fillId="0" borderId="14" xfId="64" applyBorder="1">
      <alignment/>
      <protection/>
    </xf>
    <xf numFmtId="0" fontId="3" fillId="0" borderId="0" xfId="64" applyFont="1">
      <alignment/>
      <protection/>
    </xf>
    <xf numFmtId="192" fontId="0" fillId="0" borderId="0" xfId="45" applyNumberFormat="1" applyFont="1" applyAlignment="1">
      <alignment/>
    </xf>
    <xf numFmtId="181" fontId="0" fillId="0" borderId="0" xfId="42" applyNumberFormat="1" applyFont="1" applyAlignment="1">
      <alignment/>
    </xf>
    <xf numFmtId="183" fontId="0" fillId="0" borderId="0" xfId="42" applyNumberFormat="1" applyFont="1" applyAlignment="1">
      <alignment horizontal="right"/>
    </xf>
    <xf numFmtId="181" fontId="0" fillId="0" borderId="0" xfId="42" applyNumberFormat="1" applyFont="1" applyAlignment="1">
      <alignment horizontal="right"/>
    </xf>
    <xf numFmtId="183" fontId="4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3" fontId="4" fillId="0" borderId="10" xfId="42" applyNumberFormat="1" applyFont="1" applyBorder="1" applyAlignment="1">
      <alignment/>
    </xf>
    <xf numFmtId="192" fontId="1" fillId="0" borderId="14" xfId="45" applyNumberFormat="1" applyFont="1" applyBorder="1" applyAlignment="1">
      <alignment horizontal="center"/>
    </xf>
    <xf numFmtId="192" fontId="1" fillId="0" borderId="0" xfId="45" applyNumberFormat="1" applyFont="1" applyAlignment="1">
      <alignment/>
    </xf>
    <xf numFmtId="192" fontId="1" fillId="0" borderId="0" xfId="45" applyNumberFormat="1" applyFont="1" applyAlignment="1">
      <alignment horizontal="center"/>
    </xf>
    <xf numFmtId="183" fontId="0" fillId="32" borderId="0" xfId="42" applyNumberFormat="1" applyFont="1" applyFill="1" applyAlignment="1">
      <alignment/>
    </xf>
    <xf numFmtId="0" fontId="0" fillId="0" borderId="0" xfId="0" applyAlignment="1" quotePrefix="1">
      <alignment/>
    </xf>
    <xf numFmtId="0" fontId="1" fillId="0" borderId="15" xfId="64" applyBorder="1" applyAlignment="1">
      <alignment wrapText="1"/>
      <protection/>
    </xf>
    <xf numFmtId="0" fontId="1" fillId="0" borderId="11" xfId="64" applyBorder="1" applyAlignment="1">
      <alignment wrapText="1"/>
      <protection/>
    </xf>
    <xf numFmtId="0" fontId="1" fillId="0" borderId="16" xfId="64" applyBorder="1">
      <alignment/>
      <protection/>
    </xf>
    <xf numFmtId="0" fontId="1" fillId="0" borderId="17" xfId="64" applyBorder="1">
      <alignment/>
      <protection/>
    </xf>
    <xf numFmtId="0" fontId="1" fillId="0" borderId="18" xfId="64" applyBorder="1">
      <alignment/>
      <protection/>
    </xf>
    <xf numFmtId="0" fontId="1" fillId="0" borderId="19" xfId="64" applyBorder="1" applyAlignment="1">
      <alignment wrapText="1"/>
      <protection/>
    </xf>
    <xf numFmtId="183" fontId="0" fillId="0" borderId="10" xfId="0" applyNumberFormat="1" applyBorder="1" applyAlignment="1">
      <alignment/>
    </xf>
    <xf numFmtId="0" fontId="1" fillId="0" borderId="13" xfId="64" applyFont="1" applyBorder="1" applyAlignment="1">
      <alignment wrapText="1"/>
      <protection/>
    </xf>
    <xf numFmtId="180" fontId="0" fillId="0" borderId="0" xfId="45" applyFont="1" applyAlignment="1">
      <alignment/>
    </xf>
    <xf numFmtId="0" fontId="4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63">
      <alignment/>
      <protection/>
    </xf>
    <xf numFmtId="0" fontId="0" fillId="0" borderId="11" xfId="63" applyBorder="1" applyAlignment="1">
      <alignment horizontal="right"/>
      <protection/>
    </xf>
    <xf numFmtId="0" fontId="0" fillId="0" borderId="11" xfId="63" applyBorder="1">
      <alignment/>
      <protection/>
    </xf>
    <xf numFmtId="0" fontId="0" fillId="0" borderId="11" xfId="63" applyFont="1" applyBorder="1">
      <alignment/>
      <protection/>
    </xf>
    <xf numFmtId="0" fontId="0" fillId="0" borderId="11" xfId="63" applyFont="1" applyBorder="1" applyAlignment="1">
      <alignment horizontal="right"/>
      <protection/>
    </xf>
    <xf numFmtId="0" fontId="0" fillId="0" borderId="0" xfId="63" applyAlignment="1">
      <alignment horizontal="right"/>
      <protection/>
    </xf>
    <xf numFmtId="183" fontId="0" fillId="0" borderId="0" xfId="63" applyNumberFormat="1">
      <alignment/>
      <protection/>
    </xf>
    <xf numFmtId="183" fontId="4" fillId="0" borderId="0" xfId="42" applyNumberFormat="1" applyFont="1" applyFill="1" applyAlignment="1">
      <alignment/>
    </xf>
    <xf numFmtId="0" fontId="0" fillId="33" borderId="0" xfId="0" applyFill="1" applyAlignment="1">
      <alignment/>
    </xf>
    <xf numFmtId="180" fontId="0" fillId="0" borderId="10" xfId="45" applyFont="1" applyBorder="1" applyAlignment="1">
      <alignment/>
    </xf>
    <xf numFmtId="181" fontId="0" fillId="0" borderId="0" xfId="42" applyFont="1" applyBorder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180" fontId="0" fillId="34" borderId="0" xfId="45" applyFont="1" applyFill="1" applyAlignment="1">
      <alignment/>
    </xf>
    <xf numFmtId="180" fontId="0" fillId="33" borderId="0" xfId="45" applyFont="1" applyFill="1" applyAlignment="1">
      <alignment/>
    </xf>
    <xf numFmtId="180" fontId="0" fillId="33" borderId="10" xfId="45" applyFont="1" applyFill="1" applyBorder="1" applyAlignment="1">
      <alignment/>
    </xf>
    <xf numFmtId="0" fontId="0" fillId="33" borderId="10" xfId="0" applyFill="1" applyBorder="1" applyAlignment="1">
      <alignment/>
    </xf>
    <xf numFmtId="180" fontId="0" fillId="35" borderId="0" xfId="45" applyFont="1" applyFill="1" applyBorder="1" applyAlignment="1">
      <alignment/>
    </xf>
    <xf numFmtId="180" fontId="0" fillId="0" borderId="0" xfId="0" applyNumberFormat="1" applyFill="1" applyAlignment="1">
      <alignment/>
    </xf>
    <xf numFmtId="0" fontId="9" fillId="0" borderId="0" xfId="64" applyFont="1">
      <alignment/>
      <protection/>
    </xf>
    <xf numFmtId="190" fontId="1" fillId="0" borderId="0" xfId="64" applyNumberFormat="1">
      <alignment/>
      <protection/>
    </xf>
    <xf numFmtId="192" fontId="1" fillId="0" borderId="0" xfId="64" applyNumberFormat="1">
      <alignment/>
      <protection/>
    </xf>
    <xf numFmtId="180" fontId="1" fillId="0" borderId="0" xfId="45" applyFont="1" applyAlignment="1">
      <alignment/>
    </xf>
    <xf numFmtId="192" fontId="1" fillId="34" borderId="0" xfId="64" applyNumberFormat="1" applyFill="1">
      <alignment/>
      <protection/>
    </xf>
    <xf numFmtId="192" fontId="1" fillId="0" borderId="0" xfId="64" applyNumberFormat="1" applyFill="1">
      <alignment/>
      <protection/>
    </xf>
    <xf numFmtId="0" fontId="0" fillId="0" borderId="0" xfId="71">
      <alignment/>
      <protection/>
    </xf>
    <xf numFmtId="0" fontId="10" fillId="0" borderId="0" xfId="71" applyFont="1">
      <alignment/>
      <protection/>
    </xf>
    <xf numFmtId="0" fontId="11" fillId="0" borderId="0" xfId="71" applyFont="1">
      <alignment/>
      <protection/>
    </xf>
    <xf numFmtId="0" fontId="11" fillId="0" borderId="0" xfId="71" applyFont="1" applyFill="1" applyBorder="1">
      <alignment/>
      <protection/>
    </xf>
    <xf numFmtId="0" fontId="0" fillId="0" borderId="0" xfId="71" applyFill="1" applyBorder="1">
      <alignment/>
      <protection/>
    </xf>
    <xf numFmtId="0" fontId="4" fillId="0" borderId="0" xfId="71" applyFont="1">
      <alignment/>
      <protection/>
    </xf>
    <xf numFmtId="0" fontId="5" fillId="0" borderId="0" xfId="71" applyFont="1" applyAlignment="1">
      <alignment horizontal="right"/>
      <protection/>
    </xf>
    <xf numFmtId="0" fontId="2" fillId="0" borderId="0" xfId="71" applyFont="1" applyFill="1" applyBorder="1" applyAlignment="1">
      <alignment horizontal="right"/>
      <protection/>
    </xf>
    <xf numFmtId="180" fontId="0" fillId="0" borderId="0" xfId="71" applyNumberFormat="1" applyFill="1" applyBorder="1">
      <alignment/>
      <protection/>
    </xf>
    <xf numFmtId="180" fontId="4" fillId="0" borderId="0" xfId="71" applyNumberFormat="1" applyFont="1">
      <alignment/>
      <protection/>
    </xf>
    <xf numFmtId="0" fontId="0" fillId="0" borderId="0" xfId="71" applyFill="1" applyBorder="1" quotePrefix="1">
      <alignment/>
      <protection/>
    </xf>
    <xf numFmtId="183" fontId="0" fillId="0" borderId="0" xfId="42" applyNumberFormat="1" applyFont="1" applyFill="1" applyBorder="1" applyAlignment="1">
      <alignment/>
    </xf>
    <xf numFmtId="180" fontId="4" fillId="0" borderId="0" xfId="71" applyNumberFormat="1" applyFont="1" applyFill="1">
      <alignment/>
      <protection/>
    </xf>
    <xf numFmtId="180" fontId="0" fillId="0" borderId="0" xfId="71" applyNumberFormat="1">
      <alignment/>
      <protection/>
    </xf>
    <xf numFmtId="181" fontId="0" fillId="0" borderId="0" xfId="42" applyFont="1" applyFill="1" applyBorder="1" applyAlignment="1">
      <alignment/>
    </xf>
    <xf numFmtId="180" fontId="0" fillId="0" borderId="0" xfId="45" applyFont="1" applyFill="1" applyBorder="1" applyAlignment="1">
      <alignment/>
    </xf>
    <xf numFmtId="192" fontId="4" fillId="0" borderId="0" xfId="71" applyNumberFormat="1" applyFont="1">
      <alignment/>
      <protection/>
    </xf>
    <xf numFmtId="192" fontId="4" fillId="0" borderId="0" xfId="71" applyNumberFormat="1" applyFont="1" applyFill="1">
      <alignment/>
      <protection/>
    </xf>
    <xf numFmtId="183" fontId="0" fillId="0" borderId="0" xfId="71" applyNumberFormat="1">
      <alignment/>
      <protection/>
    </xf>
    <xf numFmtId="180" fontId="0" fillId="0" borderId="0" xfId="71" applyNumberFormat="1" applyFill="1" applyBorder="1" quotePrefix="1">
      <alignment/>
      <protection/>
    </xf>
    <xf numFmtId="180" fontId="0" fillId="0" borderId="0" xfId="45" applyNumberFormat="1" applyFont="1" applyFill="1" applyBorder="1" applyAlignment="1">
      <alignment/>
    </xf>
    <xf numFmtId="192" fontId="4" fillId="0" borderId="10" xfId="71" applyNumberFormat="1" applyFont="1" applyBorder="1">
      <alignment/>
      <protection/>
    </xf>
    <xf numFmtId="0" fontId="0" fillId="36" borderId="0" xfId="71" applyFill="1">
      <alignment/>
      <protection/>
    </xf>
    <xf numFmtId="180" fontId="0" fillId="36" borderId="0" xfId="71" applyNumberFormat="1" applyFill="1">
      <alignment/>
      <protection/>
    </xf>
    <xf numFmtId="0" fontId="4" fillId="0" borderId="0" xfId="71" applyFont="1" applyFill="1">
      <alignment/>
      <protection/>
    </xf>
    <xf numFmtId="192" fontId="4" fillId="0" borderId="0" xfId="45" applyNumberFormat="1" applyFont="1" applyFill="1" applyBorder="1" applyAlignment="1">
      <alignment/>
    </xf>
    <xf numFmtId="180" fontId="0" fillId="0" borderId="0" xfId="71" applyNumberFormat="1" applyFill="1">
      <alignment/>
      <protection/>
    </xf>
    <xf numFmtId="0" fontId="0" fillId="36" borderId="0" xfId="71" applyFill="1" quotePrefix="1">
      <alignment/>
      <protection/>
    </xf>
    <xf numFmtId="180" fontId="0" fillId="36" borderId="10" xfId="71" applyNumberFormat="1" applyFill="1" applyBorder="1">
      <alignment/>
      <protection/>
    </xf>
    <xf numFmtId="0" fontId="0" fillId="0" borderId="0" xfId="71" applyFill="1">
      <alignment/>
      <protection/>
    </xf>
    <xf numFmtId="180" fontId="2" fillId="0" borderId="0" xfId="71" applyNumberFormat="1" applyFont="1" applyFill="1">
      <alignment/>
      <protection/>
    </xf>
    <xf numFmtId="180" fontId="0" fillId="34" borderId="0" xfId="71" applyNumberFormat="1" applyFill="1">
      <alignment/>
      <protection/>
    </xf>
    <xf numFmtId="0" fontId="2" fillId="0" borderId="0" xfId="71" applyFont="1" applyAlignment="1">
      <alignment horizontal="right"/>
      <protection/>
    </xf>
    <xf numFmtId="183" fontId="2" fillId="32" borderId="0" xfId="42" applyNumberFormat="1" applyFont="1" applyFill="1" applyAlignment="1">
      <alignment/>
    </xf>
    <xf numFmtId="180" fontId="2" fillId="36" borderId="0" xfId="71" applyNumberFormat="1" applyFont="1" applyFill="1">
      <alignment/>
      <protection/>
    </xf>
    <xf numFmtId="183" fontId="2" fillId="36" borderId="0" xfId="42" applyNumberFormat="1" applyFont="1" applyFill="1" applyAlignment="1">
      <alignment/>
    </xf>
    <xf numFmtId="180" fontId="2" fillId="36" borderId="0" xfId="45" applyFont="1" applyFill="1" applyAlignment="1">
      <alignment/>
    </xf>
    <xf numFmtId="180" fontId="2" fillId="32" borderId="0" xfId="71" applyNumberFormat="1" applyFont="1" applyFill="1">
      <alignment/>
      <protection/>
    </xf>
    <xf numFmtId="180" fontId="0" fillId="0" borderId="10" xfId="71" applyNumberFormat="1" applyBorder="1">
      <alignment/>
      <protection/>
    </xf>
    <xf numFmtId="180" fontId="2" fillId="36" borderId="10" xfId="45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0" fontId="0" fillId="0" borderId="0" xfId="71" applyFont="1" applyFill="1">
      <alignment/>
      <protection/>
    </xf>
    <xf numFmtId="0" fontId="5" fillId="0" borderId="0" xfId="71" applyFont="1" applyFill="1">
      <alignment/>
      <protection/>
    </xf>
    <xf numFmtId="0" fontId="2" fillId="0" borderId="0" xfId="71" applyFont="1" applyFill="1">
      <alignment/>
      <protection/>
    </xf>
    <xf numFmtId="192" fontId="2" fillId="0" borderId="0" xfId="45" applyNumberFormat="1" applyFont="1" applyAlignment="1">
      <alignment/>
    </xf>
    <xf numFmtId="192" fontId="0" fillId="0" borderId="0" xfId="71" applyNumberFormat="1" applyFont="1" applyFill="1">
      <alignment/>
      <protection/>
    </xf>
    <xf numFmtId="190" fontId="0" fillId="0" borderId="0" xfId="71" applyNumberFormat="1" applyFont="1" applyFill="1" applyBorder="1">
      <alignment/>
      <protection/>
    </xf>
    <xf numFmtId="190" fontId="0" fillId="0" borderId="0" xfId="71" applyNumberFormat="1" applyFont="1" applyFill="1">
      <alignment/>
      <protection/>
    </xf>
    <xf numFmtId="193" fontId="0" fillId="0" borderId="0" xfId="45" applyNumberFormat="1" applyFont="1" applyFill="1" applyAlignment="1">
      <alignment/>
    </xf>
    <xf numFmtId="181" fontId="0" fillId="0" borderId="0" xfId="42" applyNumberFormat="1" applyFont="1" applyFill="1" applyAlignment="1">
      <alignment/>
    </xf>
    <xf numFmtId="183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3" fontId="0" fillId="0" borderId="20" xfId="0" applyNumberFormat="1" applyBorder="1" applyAlignment="1">
      <alignment horizontal="right"/>
    </xf>
    <xf numFmtId="18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12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16" xfId="0" applyNumberFormat="1" applyBorder="1" applyAlignment="1">
      <alignment horizontal="right"/>
    </xf>
    <xf numFmtId="18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3" fontId="0" fillId="0" borderId="18" xfId="0" applyNumberFormat="1" applyBorder="1" applyAlignment="1">
      <alignment/>
    </xf>
    <xf numFmtId="181" fontId="0" fillId="0" borderId="17" xfId="42" applyNumberFormat="1" applyFont="1" applyFill="1" applyBorder="1" applyAlignment="1">
      <alignment/>
    </xf>
    <xf numFmtId="183" fontId="0" fillId="0" borderId="18" xfId="42" applyNumberFormat="1" applyFont="1" applyFill="1" applyBorder="1" applyAlignment="1">
      <alignment/>
    </xf>
    <xf numFmtId="190" fontId="0" fillId="34" borderId="18" xfId="0" applyNumberFormat="1" applyFill="1" applyBorder="1" applyAlignment="1">
      <alignment/>
    </xf>
    <xf numFmtId="186" fontId="4" fillId="0" borderId="0" xfId="71" applyNumberFormat="1" applyFont="1">
      <alignment/>
      <protection/>
    </xf>
    <xf numFmtId="0" fontId="4" fillId="0" borderId="0" xfId="71" applyFont="1" applyAlignment="1">
      <alignment horizontal="right"/>
      <protection/>
    </xf>
    <xf numFmtId="185" fontId="4" fillId="0" borderId="0" xfId="71" applyNumberFormat="1" applyFont="1">
      <alignment/>
      <protection/>
    </xf>
    <xf numFmtId="0" fontId="6" fillId="0" borderId="0" xfId="71" applyFont="1" applyAlignment="1">
      <alignment horizontal="right"/>
      <protection/>
    </xf>
    <xf numFmtId="184" fontId="4" fillId="0" borderId="0" xfId="71" applyNumberFormat="1" applyFont="1">
      <alignment/>
      <protection/>
    </xf>
    <xf numFmtId="185" fontId="6" fillId="0" borderId="0" xfId="71" applyNumberFormat="1" applyFont="1">
      <alignment/>
      <protection/>
    </xf>
    <xf numFmtId="184" fontId="4" fillId="0" borderId="10" xfId="71" applyNumberFormat="1" applyFont="1" applyBorder="1">
      <alignment/>
      <protection/>
    </xf>
    <xf numFmtId="184" fontId="4" fillId="0" borderId="0" xfId="71" applyNumberFormat="1" applyFont="1" applyFill="1">
      <alignment/>
      <protection/>
    </xf>
    <xf numFmtId="183" fontId="4" fillId="0" borderId="0" xfId="71" applyNumberFormat="1" applyFont="1">
      <alignment/>
      <protection/>
    </xf>
    <xf numFmtId="185" fontId="4" fillId="0" borderId="10" xfId="71" applyNumberFormat="1" applyFont="1" applyFill="1" applyBorder="1">
      <alignment/>
      <protection/>
    </xf>
    <xf numFmtId="185" fontId="4" fillId="34" borderId="0" xfId="71" applyNumberFormat="1" applyFont="1" applyFill="1">
      <alignment/>
      <protection/>
    </xf>
    <xf numFmtId="185" fontId="4" fillId="0" borderId="0" xfId="71" applyNumberFormat="1" applyFont="1" applyFill="1">
      <alignment/>
      <protection/>
    </xf>
    <xf numFmtId="2" fontId="0" fillId="0" borderId="0" xfId="71" applyNumberFormat="1" applyFill="1" applyBorder="1">
      <alignment/>
      <protection/>
    </xf>
    <xf numFmtId="2" fontId="2" fillId="0" borderId="0" xfId="71" applyNumberFormat="1" applyFont="1" applyFill="1" applyBorder="1">
      <alignment/>
      <protection/>
    </xf>
    <xf numFmtId="183" fontId="0" fillId="0" borderId="0" xfId="42" applyNumberFormat="1" applyFont="1" applyFill="1" applyBorder="1" applyAlignment="1">
      <alignment/>
    </xf>
    <xf numFmtId="183" fontId="2" fillId="0" borderId="0" xfId="71" applyNumberFormat="1" applyFont="1" applyFill="1" applyBorder="1">
      <alignment/>
      <protection/>
    </xf>
    <xf numFmtId="9" fontId="0" fillId="0" borderId="0" xfId="67" applyFont="1" applyFill="1" applyBorder="1" applyAlignment="1">
      <alignment/>
    </xf>
    <xf numFmtId="2" fontId="0" fillId="0" borderId="0" xfId="71" applyNumberFormat="1" applyFont="1" applyFill="1" applyBorder="1">
      <alignment/>
      <protection/>
    </xf>
    <xf numFmtId="195" fontId="0" fillId="0" borderId="0" xfId="71" applyNumberFormat="1" applyFill="1" applyBorder="1">
      <alignment/>
      <protection/>
    </xf>
    <xf numFmtId="183" fontId="0" fillId="33" borderId="0" xfId="42" applyNumberFormat="1" applyFont="1" applyFill="1" applyAlignment="1">
      <alignment/>
    </xf>
    <xf numFmtId="183" fontId="0" fillId="33" borderId="10" xfId="42" applyNumberFormat="1" applyFont="1" applyFill="1" applyBorder="1" applyAlignment="1">
      <alignment/>
    </xf>
    <xf numFmtId="180" fontId="0" fillId="0" borderId="0" xfId="45" applyFont="1" applyFill="1" applyAlignment="1">
      <alignment/>
    </xf>
    <xf numFmtId="180" fontId="0" fillId="0" borderId="10" xfId="45" applyFont="1" applyFill="1" applyBorder="1" applyAlignment="1">
      <alignment/>
    </xf>
    <xf numFmtId="0" fontId="0" fillId="0" borderId="0" xfId="71" applyAlignment="1">
      <alignment horizontal="right"/>
      <protection/>
    </xf>
    <xf numFmtId="0" fontId="0" fillId="0" borderId="0" xfId="71" applyFill="1" applyBorder="1" applyAlignment="1">
      <alignment horizontal="right"/>
      <protection/>
    </xf>
    <xf numFmtId="187" fontId="0" fillId="0" borderId="0" xfId="42" applyNumberFormat="1" applyFont="1" applyFill="1" applyBorder="1" applyAlignment="1">
      <alignment horizontal="right"/>
    </xf>
    <xf numFmtId="2" fontId="0" fillId="0" borderId="10" xfId="71" applyNumberFormat="1" applyBorder="1" applyAlignment="1">
      <alignment horizontal="right"/>
      <protection/>
    </xf>
    <xf numFmtId="187" fontId="10" fillId="0" borderId="0" xfId="42" applyNumberFormat="1" applyFont="1" applyFill="1" applyAlignment="1">
      <alignment horizontal="right"/>
    </xf>
    <xf numFmtId="187" fontId="10" fillId="0" borderId="0" xfId="71" applyNumberFormat="1" applyFont="1" applyFill="1">
      <alignment/>
      <protection/>
    </xf>
    <xf numFmtId="196" fontId="0" fillId="0" borderId="10" xfId="71" applyNumberFormat="1" applyBorder="1" applyAlignment="1">
      <alignment horizontal="right"/>
      <protection/>
    </xf>
    <xf numFmtId="187" fontId="0" fillId="0" borderId="0" xfId="42" applyNumberFormat="1" applyFont="1" applyFill="1" applyAlignment="1">
      <alignment horizontal="right"/>
    </xf>
    <xf numFmtId="182" fontId="0" fillId="34" borderId="10" xfId="71" applyNumberFormat="1" applyFill="1" applyBorder="1" applyAlignment="1">
      <alignment horizontal="right"/>
      <protection/>
    </xf>
    <xf numFmtId="183" fontId="0" fillId="0" borderId="0" xfId="42" applyNumberFormat="1" applyFont="1" applyFill="1" applyBorder="1" applyAlignment="1">
      <alignment horizontal="right"/>
    </xf>
    <xf numFmtId="182" fontId="0" fillId="0" borderId="0" xfId="71" applyNumberFormat="1" applyFill="1" applyBorder="1" applyAlignment="1">
      <alignment horizontal="right"/>
      <protection/>
    </xf>
    <xf numFmtId="191" fontId="0" fillId="34" borderId="0" xfId="42" applyNumberFormat="1" applyFont="1" applyFill="1" applyAlignment="1">
      <alignment horizontal="right"/>
    </xf>
    <xf numFmtId="2" fontId="0" fillId="0" borderId="0" xfId="71" applyNumberForma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8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45" applyFont="1" applyFill="1" applyBorder="1" applyAlignment="1">
      <alignment/>
    </xf>
    <xf numFmtId="180" fontId="0" fillId="35" borderId="0" xfId="45" applyFont="1" applyFill="1" applyAlignment="1">
      <alignment/>
    </xf>
    <xf numFmtId="180" fontId="0" fillId="37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193" fontId="9" fillId="34" borderId="0" xfId="45" applyNumberFormat="1" applyFont="1" applyFill="1" applyAlignment="1">
      <alignment horizontal="center"/>
    </xf>
    <xf numFmtId="192" fontId="1" fillId="0" borderId="0" xfId="45" applyNumberFormat="1" applyFont="1" applyFill="1" applyAlignment="1">
      <alignment horizontal="center"/>
    </xf>
    <xf numFmtId="192" fontId="1" fillId="0" borderId="14" xfId="4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87" fontId="51" fillId="0" borderId="0" xfId="42" applyNumberFormat="1" applyFont="1" applyFill="1" applyBorder="1" applyAlignment="1">
      <alignment horizontal="right"/>
    </xf>
    <xf numFmtId="187" fontId="51" fillId="0" borderId="0" xfId="42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87" fontId="51" fillId="0" borderId="10" xfId="42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9" fontId="52" fillId="0" borderId="0" xfId="67" applyFont="1" applyFill="1" applyBorder="1" applyAlignment="1">
      <alignment horizontal="center"/>
    </xf>
    <xf numFmtId="187" fontId="53" fillId="0" borderId="0" xfId="42" applyNumberFormat="1" applyFont="1" applyFill="1" applyBorder="1" applyAlignment="1">
      <alignment horizontal="right"/>
    </xf>
    <xf numFmtId="187" fontId="52" fillId="0" borderId="0" xfId="42" applyNumberFormat="1" applyFont="1" applyFill="1" applyBorder="1" applyAlignment="1">
      <alignment horizontal="right"/>
    </xf>
    <xf numFmtId="187" fontId="52" fillId="0" borderId="0" xfId="42" applyNumberFormat="1" applyFont="1" applyFill="1" applyBorder="1" applyAlignment="1">
      <alignment/>
    </xf>
    <xf numFmtId="187" fontId="51" fillId="38" borderId="0" xfId="42" applyNumberFormat="1" applyFont="1" applyFill="1" applyBorder="1" applyAlignment="1">
      <alignment horizontal="right"/>
    </xf>
    <xf numFmtId="180" fontId="0" fillId="34" borderId="0" xfId="71" applyNumberFormat="1" applyFill="1" applyBorder="1">
      <alignment/>
      <protection/>
    </xf>
    <xf numFmtId="180" fontId="1" fillId="0" borderId="14" xfId="45" applyNumberFormat="1" applyFont="1" applyBorder="1" applyAlignment="1">
      <alignment horizontal="center"/>
    </xf>
    <xf numFmtId="183" fontId="0" fillId="32" borderId="0" xfId="63" applyNumberFormat="1" applyFill="1">
      <alignment/>
      <protection/>
    </xf>
    <xf numFmtId="0" fontId="2" fillId="0" borderId="0" xfId="63" applyFont="1" applyAlignment="1">
      <alignment horizontal="left"/>
      <protection/>
    </xf>
    <xf numFmtId="193" fontId="2" fillId="35" borderId="0" xfId="45" applyNumberFormat="1" applyFont="1" applyFill="1" applyAlignment="1">
      <alignment/>
    </xf>
    <xf numFmtId="193" fontId="2" fillId="34" borderId="0" xfId="45" applyNumberFormat="1" applyFont="1" applyFill="1" applyAlignment="1">
      <alignment/>
    </xf>
    <xf numFmtId="0" fontId="4" fillId="0" borderId="0" xfId="71" applyFont="1" applyAlignment="1">
      <alignment horizontal="left" indent="1"/>
      <protection/>
    </xf>
    <xf numFmtId="0" fontId="4" fillId="0" borderId="0" xfId="71" applyFont="1" applyAlignment="1">
      <alignment horizontal="left" vertical="center" indent="1"/>
      <protection/>
    </xf>
    <xf numFmtId="183" fontId="0" fillId="0" borderId="0" xfId="71" applyNumberFormat="1" applyFill="1" applyBorder="1">
      <alignment/>
      <protection/>
    </xf>
    <xf numFmtId="209" fontId="52" fillId="0" borderId="0" xfId="42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Alignment="1">
      <alignment/>
    </xf>
    <xf numFmtId="211" fontId="54" fillId="0" borderId="0" xfId="0" applyNumberFormat="1" applyFont="1" applyFill="1" applyAlignment="1">
      <alignment/>
    </xf>
    <xf numFmtId="211" fontId="12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211" fontId="12" fillId="0" borderId="0" xfId="45" applyNumberFormat="1" applyFont="1" applyFill="1" applyAlignment="1">
      <alignment/>
    </xf>
    <xf numFmtId="9" fontId="54" fillId="0" borderId="0" xfId="67" applyNumberFormat="1" applyFont="1" applyFill="1" applyAlignment="1">
      <alignment/>
    </xf>
    <xf numFmtId="9" fontId="12" fillId="0" borderId="0" xfId="67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9" fontId="12" fillId="34" borderId="0" xfId="67" applyNumberFormat="1" applyFont="1" applyFill="1" applyAlignment="1">
      <alignment/>
    </xf>
    <xf numFmtId="9" fontId="54" fillId="0" borderId="0" xfId="67" applyFont="1" applyAlignment="1">
      <alignment/>
    </xf>
    <xf numFmtId="9" fontId="12" fillId="0" borderId="0" xfId="67" applyFont="1" applyAlignment="1">
      <alignment/>
    </xf>
    <xf numFmtId="2" fontId="54" fillId="0" borderId="0" xfId="0" applyNumberFormat="1" applyFont="1" applyFill="1" applyAlignment="1">
      <alignment/>
    </xf>
    <xf numFmtId="192" fontId="0" fillId="0" borderId="0" xfId="45" applyNumberFormat="1" applyFont="1" applyAlignment="1">
      <alignment/>
    </xf>
    <xf numFmtId="220" fontId="0" fillId="0" borderId="0" xfId="67" applyNumberFormat="1" applyFont="1" applyAlignment="1">
      <alignment/>
    </xf>
    <xf numFmtId="192" fontId="0" fillId="34" borderId="0" xfId="45" applyNumberFormat="1" applyFont="1" applyFill="1" applyAlignment="1">
      <alignment/>
    </xf>
    <xf numFmtId="193" fontId="9" fillId="0" borderId="0" xfId="45" applyNumberFormat="1" applyFont="1" applyFill="1" applyAlignment="1">
      <alignment horizontal="center"/>
    </xf>
    <xf numFmtId="0" fontId="1" fillId="0" borderId="0" xfId="64" applyFill="1">
      <alignment/>
      <protection/>
    </xf>
    <xf numFmtId="9" fontId="0" fillId="0" borderId="0" xfId="67" applyFont="1" applyFill="1" applyAlignment="1">
      <alignment/>
    </xf>
    <xf numFmtId="9" fontId="0" fillId="0" borderId="0" xfId="0" applyNumberFormat="1" applyFill="1" applyAlignment="1">
      <alignment/>
    </xf>
    <xf numFmtId="183" fontId="0" fillId="0" borderId="1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221" fontId="4" fillId="0" borderId="0" xfId="71" applyNumberFormat="1" applyFont="1" applyFill="1">
      <alignment/>
      <protection/>
    </xf>
    <xf numFmtId="4" fontId="0" fillId="0" borderId="10" xfId="45" applyNumberFormat="1" applyFont="1" applyBorder="1" applyAlignment="1">
      <alignment/>
    </xf>
    <xf numFmtId="4" fontId="0" fillId="0" borderId="0" xfId="71" applyNumberFormat="1" applyFill="1" applyBorder="1">
      <alignment/>
      <protection/>
    </xf>
    <xf numFmtId="4" fontId="0" fillId="35" borderId="0" xfId="45" applyNumberFormat="1" applyFont="1" applyFill="1" applyAlignment="1">
      <alignment/>
    </xf>
    <xf numFmtId="4" fontId="0" fillId="0" borderId="0" xfId="45" applyNumberFormat="1" applyFill="1" applyBorder="1" applyAlignment="1">
      <alignment/>
    </xf>
    <xf numFmtId="4" fontId="0" fillId="33" borderId="10" xfId="45" applyNumberFormat="1" applyFill="1" applyBorder="1" applyAlignment="1">
      <alignment/>
    </xf>
    <xf numFmtId="4" fontId="0" fillId="33" borderId="10" xfId="42" applyNumberFormat="1" applyFill="1" applyBorder="1" applyAlignment="1">
      <alignment/>
    </xf>
    <xf numFmtId="4" fontId="0" fillId="0" borderId="10" xfId="45" applyNumberFormat="1" applyFill="1" applyBorder="1" applyAlignment="1">
      <alignment/>
    </xf>
    <xf numFmtId="4" fontId="0" fillId="34" borderId="0" xfId="45" applyNumberFormat="1" applyFill="1" applyBorder="1" applyAlignment="1">
      <alignment/>
    </xf>
    <xf numFmtId="180" fontId="0" fillId="0" borderId="0" xfId="45" applyFont="1" applyFill="1" applyAlignment="1">
      <alignment/>
    </xf>
    <xf numFmtId="183" fontId="0" fillId="0" borderId="0" xfId="42" applyNumberFormat="1" applyFont="1" applyFill="1" applyAlignment="1">
      <alignment/>
    </xf>
    <xf numFmtId="0" fontId="2" fillId="0" borderId="0" xfId="71" applyFont="1" applyFill="1" applyAlignment="1">
      <alignment horizontal="right"/>
      <protection/>
    </xf>
    <xf numFmtId="0" fontId="4" fillId="0" borderId="0" xfId="71" applyFont="1" applyFill="1" applyAlignment="1">
      <alignment horizontal="left" indent="1"/>
      <protection/>
    </xf>
    <xf numFmtId="9" fontId="0" fillId="0" borderId="0" xfId="67" applyFont="1" applyFill="1" applyAlignment="1">
      <alignment/>
    </xf>
    <xf numFmtId="183" fontId="0" fillId="0" borderId="0" xfId="71" applyNumberFormat="1" applyFill="1">
      <alignment/>
      <protection/>
    </xf>
    <xf numFmtId="183" fontId="0" fillId="0" borderId="10" xfId="42" applyNumberFormat="1" applyFont="1" applyFill="1" applyBorder="1" applyAlignment="1">
      <alignment/>
    </xf>
    <xf numFmtId="192" fontId="0" fillId="0" borderId="0" xfId="45" applyNumberFormat="1" applyFont="1" applyFill="1" applyAlignment="1">
      <alignment/>
    </xf>
    <xf numFmtId="9" fontId="0" fillId="0" borderId="10" xfId="67" applyFont="1" applyFill="1" applyBorder="1" applyAlignment="1">
      <alignment/>
    </xf>
    <xf numFmtId="183" fontId="0" fillId="0" borderId="10" xfId="42" applyNumberFormat="1" applyFont="1" applyFill="1" applyBorder="1" applyAlignment="1">
      <alignment/>
    </xf>
    <xf numFmtId="0" fontId="0" fillId="0" borderId="0" xfId="71" applyFill="1" applyAlignment="1">
      <alignment horizontal="right"/>
      <protection/>
    </xf>
    <xf numFmtId="2" fontId="0" fillId="0" borderId="0" xfId="71" applyNumberFormat="1" applyFill="1" applyAlignment="1">
      <alignment horizontal="right"/>
      <protection/>
    </xf>
    <xf numFmtId="182" fontId="0" fillId="0" borderId="10" xfId="71" applyNumberFormat="1" applyFill="1" applyBorder="1" applyAlignment="1">
      <alignment horizontal="right"/>
      <protection/>
    </xf>
    <xf numFmtId="181" fontId="0" fillId="0" borderId="0" xfId="71" applyNumberFormat="1" applyFill="1">
      <alignment/>
      <protection/>
    </xf>
    <xf numFmtId="1" fontId="0" fillId="0" borderId="0" xfId="71" applyNumberFormat="1" applyFill="1">
      <alignment/>
      <protection/>
    </xf>
    <xf numFmtId="0" fontId="0" fillId="0" borderId="10" xfId="71" applyFill="1" applyBorder="1" applyAlignment="1">
      <alignment horizontal="right"/>
      <protection/>
    </xf>
    <xf numFmtId="183" fontId="10" fillId="0" borderId="0" xfId="71" applyNumberFormat="1" applyFont="1" applyFill="1">
      <alignment/>
      <protection/>
    </xf>
    <xf numFmtId="0" fontId="10" fillId="0" borderId="0" xfId="71" applyFont="1" applyFill="1">
      <alignment/>
      <protection/>
    </xf>
    <xf numFmtId="198" fontId="10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 applyAlignment="1">
      <alignment horizontal="right"/>
      <protection/>
    </xf>
    <xf numFmtId="2" fontId="0" fillId="0" borderId="10" xfId="71" applyNumberFormat="1" applyFill="1" applyBorder="1" applyAlignment="1">
      <alignment horizontal="right"/>
      <protection/>
    </xf>
    <xf numFmtId="187" fontId="0" fillId="0" borderId="0" xfId="71" applyNumberFormat="1" applyFill="1">
      <alignment/>
      <protection/>
    </xf>
    <xf numFmtId="191" fontId="0" fillId="0" borderId="0" xfId="42" applyNumberFormat="1" applyFont="1" applyFill="1" applyAlignment="1">
      <alignment horizontal="right"/>
    </xf>
    <xf numFmtId="196" fontId="0" fillId="0" borderId="10" xfId="71" applyNumberFormat="1" applyFill="1" applyBorder="1" applyAlignment="1">
      <alignment horizontal="right"/>
      <protection/>
    </xf>
    <xf numFmtId="191" fontId="0" fillId="0" borderId="0" xfId="42" applyNumberFormat="1" applyFont="1" applyFill="1" applyBorder="1" applyAlignment="1">
      <alignment horizontal="right"/>
    </xf>
    <xf numFmtId="188" fontId="0" fillId="0" borderId="0" xfId="71" applyNumberFormat="1" applyFill="1">
      <alignment/>
      <protection/>
    </xf>
    <xf numFmtId="192" fontId="1" fillId="0" borderId="0" xfId="45" applyNumberFormat="1" applyFont="1" applyAlignment="1">
      <alignment horizontal="center"/>
    </xf>
    <xf numFmtId="192" fontId="1" fillId="0" borderId="0" xfId="45" applyNumberFormat="1" applyFont="1" applyFill="1" applyAlignment="1">
      <alignment horizontal="center"/>
    </xf>
    <xf numFmtId="0" fontId="1" fillId="0" borderId="0" xfId="64" applyAlignment="1">
      <alignment horizontal="center"/>
      <protection/>
    </xf>
    <xf numFmtId="0" fontId="11" fillId="0" borderId="0" xfId="71" applyFont="1" applyFill="1" applyBorder="1" applyAlignme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EBB078A05 2014-2015 sem 1b2_Exam_sheet cost concepts   19 jan 2015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Standaard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152400</xdr:rowOff>
    </xdr:from>
    <xdr:to>
      <xdr:col>16</xdr:col>
      <xdr:colOff>200025</xdr:colOff>
      <xdr:row>15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886825" y="152400"/>
          <a:ext cx="3629025" cy="300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212573\OneDrive\Live%20Data\Onderwijs\2019-2020\MA%20for%20IEM\Exam\dcfdp%20coff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- Present"/>
      <sheetName val="General - Present - P&amp;L"/>
      <sheetName val="General - Present - P&amp;L (2)"/>
      <sheetName val="General - Alt I-IV"/>
      <sheetName val="CVP Present"/>
      <sheetName val="CVP I - deel"/>
      <sheetName val="CVP I - geheel"/>
      <sheetName val="CVP I&amp;II"/>
      <sheetName val="CVP III&amp;IV"/>
      <sheetName val="CVP III&amp;IV OL"/>
      <sheetName val="Diff V - facts"/>
      <sheetName val="Diff V - calc"/>
      <sheetName val="Differential V"/>
      <sheetName val="Details Present"/>
    </sheetNames>
    <sheetDataSet>
      <sheetData sheetId="3">
        <row r="35">
          <cell r="G35">
            <v>9000</v>
          </cell>
        </row>
        <row r="36">
          <cell r="G36">
            <v>1</v>
          </cell>
        </row>
        <row r="38">
          <cell r="G38">
            <v>0.3</v>
          </cell>
        </row>
        <row r="41">
          <cell r="G41">
            <v>0.3</v>
          </cell>
        </row>
        <row r="44">
          <cell r="G44">
            <v>6000</v>
          </cell>
        </row>
        <row r="45">
          <cell r="G45">
            <v>24</v>
          </cell>
        </row>
        <row r="46">
          <cell r="G46">
            <v>600</v>
          </cell>
        </row>
        <row r="47">
          <cell r="G47">
            <v>225</v>
          </cell>
        </row>
        <row r="50">
          <cell r="G50">
            <v>562.5</v>
          </cell>
        </row>
        <row r="51">
          <cell r="G51">
            <v>0.05</v>
          </cell>
        </row>
        <row r="54">
          <cell r="G54">
            <v>125</v>
          </cell>
        </row>
        <row r="55">
          <cell r="G55">
            <v>950</v>
          </cell>
        </row>
        <row r="56">
          <cell r="G5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8">
      <selection activeCell="J21" sqref="J21"/>
    </sheetView>
  </sheetViews>
  <sheetFormatPr defaultColWidth="8.00390625" defaultRowHeight="15.75"/>
  <cols>
    <col min="1" max="1" width="3.625" style="21" customWidth="1"/>
    <col min="2" max="2" width="42.25390625" style="21" customWidth="1"/>
    <col min="3" max="3" width="9.50390625" style="21" customWidth="1"/>
    <col min="4" max="4" width="8.75390625" style="21" customWidth="1"/>
    <col min="5" max="5" width="9.625" style="21" customWidth="1"/>
    <col min="6" max="6" width="9.50390625" style="21" customWidth="1"/>
    <col min="7" max="7" width="8.625" style="21" customWidth="1"/>
    <col min="8" max="8" width="10.75390625" style="21" customWidth="1"/>
    <col min="9" max="9" width="8.375" style="21" customWidth="1"/>
    <col min="10" max="10" width="8.375" style="21" bestFit="1" customWidth="1"/>
    <col min="11" max="11" width="8.25390625" style="21" bestFit="1" customWidth="1"/>
    <col min="12" max="13" width="10.875" style="21" bestFit="1" customWidth="1"/>
    <col min="14" max="16384" width="8.00390625" style="21" customWidth="1"/>
  </cols>
  <sheetData>
    <row r="1" spans="2:5" ht="15">
      <c r="B1" s="21" t="s">
        <v>126</v>
      </c>
      <c r="C1" s="21">
        <v>5000</v>
      </c>
      <c r="E1" s="69"/>
    </row>
    <row r="2" spans="2:9" ht="15">
      <c r="B2" s="21" t="s">
        <v>127</v>
      </c>
      <c r="C2" s="21">
        <v>5000</v>
      </c>
      <c r="D2" s="71">
        <v>2</v>
      </c>
      <c r="E2" s="34">
        <f>+C2*D2</f>
        <v>10000</v>
      </c>
      <c r="G2" s="21">
        <v>4000</v>
      </c>
      <c r="H2" s="71">
        <v>2.5</v>
      </c>
      <c r="I2" s="34">
        <f>+G2*H2</f>
        <v>10000</v>
      </c>
    </row>
    <row r="4" spans="5:8" ht="15">
      <c r="E4" s="40" t="s">
        <v>20</v>
      </c>
      <c r="F4" s="41"/>
      <c r="G4" s="42"/>
      <c r="H4" s="24" t="s">
        <v>21</v>
      </c>
    </row>
    <row r="5" spans="2:10" ht="45">
      <c r="B5" s="45" t="s">
        <v>107</v>
      </c>
      <c r="C5" s="22" t="s">
        <v>22</v>
      </c>
      <c r="D5" s="22" t="s">
        <v>23</v>
      </c>
      <c r="E5" s="38" t="s">
        <v>24</v>
      </c>
      <c r="F5" s="23" t="s">
        <v>25</v>
      </c>
      <c r="G5" s="39" t="s">
        <v>41</v>
      </c>
      <c r="H5" s="43" t="s">
        <v>42</v>
      </c>
      <c r="I5" s="22" t="s">
        <v>26</v>
      </c>
      <c r="J5" s="22" t="s">
        <v>27</v>
      </c>
    </row>
    <row r="6" spans="1:10" ht="36" customHeight="1">
      <c r="A6" s="24" t="s">
        <v>28</v>
      </c>
      <c r="B6" s="24" t="s">
        <v>45</v>
      </c>
      <c r="C6" s="33"/>
      <c r="D6" s="33"/>
      <c r="E6" s="33"/>
      <c r="F6" s="33"/>
      <c r="G6" s="33"/>
      <c r="H6" s="33"/>
      <c r="I6" s="186">
        <v>900</v>
      </c>
      <c r="J6" s="33"/>
    </row>
    <row r="7" spans="1:10" ht="36" customHeight="1">
      <c r="A7" s="24" t="s">
        <v>29</v>
      </c>
      <c r="B7" s="24" t="s">
        <v>53</v>
      </c>
      <c r="C7" s="33"/>
      <c r="D7" s="33"/>
      <c r="E7" s="33"/>
      <c r="F7" s="33"/>
      <c r="G7" s="33"/>
      <c r="H7" s="33"/>
      <c r="I7" s="186">
        <v>80</v>
      </c>
      <c r="J7" s="33"/>
    </row>
    <row r="8" spans="1:10" ht="36" customHeight="1">
      <c r="A8" s="24" t="s">
        <v>30</v>
      </c>
      <c r="B8" s="24" t="s">
        <v>48</v>
      </c>
      <c r="C8" s="200">
        <f>0.25*$C$2</f>
        <v>1250</v>
      </c>
      <c r="D8" s="33"/>
      <c r="E8" s="33"/>
      <c r="F8" s="33"/>
      <c r="G8" s="33"/>
      <c r="H8" s="200">
        <f>+C8</f>
        <v>1250</v>
      </c>
      <c r="I8" s="33"/>
      <c r="J8" s="33"/>
    </row>
    <row r="9" spans="1:10" ht="36" customHeight="1">
      <c r="A9" s="24" t="s">
        <v>31</v>
      </c>
      <c r="B9" s="24" t="s">
        <v>49</v>
      </c>
      <c r="C9" s="33"/>
      <c r="D9" s="33">
        <v>750</v>
      </c>
      <c r="E9" s="33"/>
      <c r="F9" s="33"/>
      <c r="G9" s="33">
        <f>+D9</f>
        <v>750</v>
      </c>
      <c r="H9" s="33"/>
      <c r="I9" s="33"/>
      <c r="J9" s="33"/>
    </row>
    <row r="10" spans="1:10" ht="36" customHeight="1">
      <c r="A10" s="24" t="s">
        <v>32</v>
      </c>
      <c r="B10" s="24" t="s">
        <v>47</v>
      </c>
      <c r="C10" s="33">
        <f>0.4*$C$1</f>
        <v>2000</v>
      </c>
      <c r="D10" s="33"/>
      <c r="E10" s="33">
        <f>+C10</f>
        <v>2000</v>
      </c>
      <c r="F10" s="33"/>
      <c r="G10" s="33"/>
      <c r="H10" s="33"/>
      <c r="I10" s="33"/>
      <c r="J10" s="33"/>
    </row>
    <row r="11" spans="1:10" ht="36" customHeight="1">
      <c r="A11" s="24" t="s">
        <v>33</v>
      </c>
      <c r="B11" s="24" t="s">
        <v>50</v>
      </c>
      <c r="C11" s="33"/>
      <c r="D11" s="33">
        <v>350</v>
      </c>
      <c r="E11" s="33"/>
      <c r="F11" s="33"/>
      <c r="G11" s="34"/>
      <c r="H11" s="33">
        <f>+D11</f>
        <v>350</v>
      </c>
      <c r="I11" s="33"/>
      <c r="J11" s="33">
        <f>+D11</f>
        <v>350</v>
      </c>
    </row>
    <row r="12" spans="1:10" ht="36" customHeight="1">
      <c r="A12" s="24" t="s">
        <v>34</v>
      </c>
      <c r="B12" s="24" t="s">
        <v>46</v>
      </c>
      <c r="C12" s="33"/>
      <c r="D12" s="33">
        <v>800</v>
      </c>
      <c r="E12" s="33"/>
      <c r="F12" s="33"/>
      <c r="G12" s="33">
        <f>+D12</f>
        <v>800</v>
      </c>
      <c r="H12" s="33"/>
      <c r="I12" s="33"/>
      <c r="J12" s="33"/>
    </row>
    <row r="13" spans="1:10" ht="36" customHeight="1">
      <c r="A13" s="24" t="s">
        <v>35</v>
      </c>
      <c r="B13" s="24" t="s">
        <v>44</v>
      </c>
      <c r="C13" s="33">
        <f>0.3*$C$1</f>
        <v>1500</v>
      </c>
      <c r="D13" s="33"/>
      <c r="E13" s="33"/>
      <c r="F13" s="33">
        <f>+C13</f>
        <v>1500</v>
      </c>
      <c r="G13" s="33"/>
      <c r="H13" s="33"/>
      <c r="I13" s="33"/>
      <c r="J13" s="33"/>
    </row>
    <row r="14" spans="1:10" ht="36" customHeight="1">
      <c r="A14" s="24" t="s">
        <v>36</v>
      </c>
      <c r="B14" s="24" t="s">
        <v>43</v>
      </c>
      <c r="C14" s="33"/>
      <c r="D14" s="33">
        <v>500</v>
      </c>
      <c r="E14" s="33"/>
      <c r="F14" s="33"/>
      <c r="G14" s="33"/>
      <c r="H14" s="33">
        <f>+D14</f>
        <v>500</v>
      </c>
      <c r="I14" s="33"/>
      <c r="J14" s="33"/>
    </row>
    <row r="15" spans="1:10" ht="36" customHeight="1">
      <c r="A15" s="24" t="s">
        <v>37</v>
      </c>
      <c r="B15" s="24" t="s">
        <v>52</v>
      </c>
      <c r="C15" s="33">
        <f>0.2*$C$2</f>
        <v>1000</v>
      </c>
      <c r="D15" s="33"/>
      <c r="E15" s="33"/>
      <c r="F15" s="33"/>
      <c r="G15" s="33"/>
      <c r="H15" s="33">
        <f>+C15</f>
        <v>1000</v>
      </c>
      <c r="I15" s="33"/>
      <c r="J15" s="33"/>
    </row>
    <row r="16" spans="1:10" ht="36" customHeight="1">
      <c r="A16" s="24" t="s">
        <v>109</v>
      </c>
      <c r="B16" s="24" t="s">
        <v>51</v>
      </c>
      <c r="C16" s="33"/>
      <c r="D16" s="33">
        <v>400</v>
      </c>
      <c r="E16" s="33"/>
      <c r="F16" s="33"/>
      <c r="G16" s="33"/>
      <c r="H16" s="33">
        <f>+D16</f>
        <v>400</v>
      </c>
      <c r="I16" s="33"/>
      <c r="J16" s="33"/>
    </row>
    <row r="18" spans="2:10" ht="15">
      <c r="B18" s="21" t="s">
        <v>54</v>
      </c>
      <c r="C18" s="185">
        <f aca="true" t="shared" si="0" ref="C18:J18">SUM(C6:C16)</f>
        <v>5750</v>
      </c>
      <c r="D18" s="35">
        <f t="shared" si="0"/>
        <v>2800</v>
      </c>
      <c r="E18" s="35">
        <f t="shared" si="0"/>
        <v>2000</v>
      </c>
      <c r="F18" s="35">
        <f t="shared" si="0"/>
        <v>1500</v>
      </c>
      <c r="G18" s="35">
        <f t="shared" si="0"/>
        <v>1550</v>
      </c>
      <c r="H18" s="35">
        <f t="shared" si="0"/>
        <v>3500</v>
      </c>
      <c r="I18" s="35">
        <f t="shared" si="0"/>
        <v>980</v>
      </c>
      <c r="J18" s="185">
        <f t="shared" si="0"/>
        <v>350</v>
      </c>
    </row>
    <row r="19" spans="3:10" ht="15">
      <c r="C19" s="35"/>
      <c r="D19" s="35"/>
      <c r="E19" s="35"/>
      <c r="F19" s="35"/>
      <c r="G19" s="35"/>
      <c r="H19" s="35"/>
      <c r="I19" s="35"/>
      <c r="J19" s="35"/>
    </row>
    <row r="20" spans="3:12" ht="15">
      <c r="C20" s="268">
        <f>+C18+D18</f>
        <v>8550</v>
      </c>
      <c r="D20" s="268"/>
      <c r="E20" s="269">
        <f>+E18+F18+G18</f>
        <v>5050</v>
      </c>
      <c r="F20" s="269"/>
      <c r="G20" s="269"/>
      <c r="H20" s="184">
        <f>+E20/$C$1</f>
        <v>1.01</v>
      </c>
      <c r="I20" s="35"/>
      <c r="J20" s="35"/>
      <c r="K20" s="70">
        <v>8550</v>
      </c>
      <c r="L20" s="21" t="s">
        <v>205</v>
      </c>
    </row>
    <row r="21" spans="3:12" ht="15">
      <c r="C21" s="270" t="s">
        <v>55</v>
      </c>
      <c r="D21" s="270"/>
      <c r="E21" s="270" t="s">
        <v>56</v>
      </c>
      <c r="F21" s="270"/>
      <c r="G21" s="270"/>
      <c r="H21" s="68"/>
      <c r="K21" s="70">
        <v>13175</v>
      </c>
      <c r="L21" s="21" t="s">
        <v>204</v>
      </c>
    </row>
    <row r="22" spans="1:11" ht="15">
      <c r="A22" s="25"/>
      <c r="C22" s="73"/>
      <c r="G22" s="73"/>
      <c r="H22" s="227"/>
      <c r="J22" s="73"/>
      <c r="K22" s="72">
        <f>+K21-K20</f>
        <v>4625</v>
      </c>
    </row>
    <row r="23" spans="3:10" ht="15">
      <c r="C23" s="73"/>
      <c r="G23" s="73"/>
      <c r="H23" s="227"/>
      <c r="J23" s="73"/>
    </row>
    <row r="24" ht="15">
      <c r="H24" s="228"/>
    </row>
    <row r="25" ht="15">
      <c r="H25" s="228"/>
    </row>
  </sheetData>
  <sheetProtection/>
  <mergeCells count="4">
    <mergeCell ref="C20:D20"/>
    <mergeCell ref="E20:G20"/>
    <mergeCell ref="C21:D21"/>
    <mergeCell ref="E21:G21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J36" sqref="J36"/>
    </sheetView>
  </sheetViews>
  <sheetFormatPr defaultColWidth="9.00390625" defaultRowHeight="15.75"/>
  <cols>
    <col min="3" max="3" width="19.75390625" style="0" customWidth="1"/>
    <col min="8" max="8" width="5.875" style="0" customWidth="1"/>
    <col min="9" max="9" width="9.25390625" style="0" bestFit="1" customWidth="1"/>
  </cols>
  <sheetData>
    <row r="3" spans="2:11" ht="15.75">
      <c r="B3" s="187" t="s">
        <v>194</v>
      </c>
      <c r="C3" s="188"/>
      <c r="D3" s="189"/>
      <c r="E3" s="189"/>
      <c r="F3" s="189"/>
      <c r="G3" s="189"/>
      <c r="H3" s="190"/>
      <c r="I3" s="190"/>
      <c r="J3" s="191"/>
      <c r="K3" s="191"/>
    </row>
    <row r="4" spans="2:11" ht="15.75">
      <c r="B4" s="187" t="s">
        <v>195</v>
      </c>
      <c r="C4" s="188"/>
      <c r="D4" s="189">
        <v>16200</v>
      </c>
      <c r="E4" s="189">
        <v>18700</v>
      </c>
      <c r="F4" s="189">
        <v>18900</v>
      </c>
      <c r="G4" s="189">
        <v>16700</v>
      </c>
      <c r="H4" s="190"/>
      <c r="I4" s="189">
        <v>70500</v>
      </c>
      <c r="J4" s="191"/>
      <c r="K4" s="191"/>
    </row>
    <row r="5" spans="2:11" ht="15.75">
      <c r="B5" s="187" t="s">
        <v>196</v>
      </c>
      <c r="C5" s="188"/>
      <c r="D5" s="192">
        <v>40</v>
      </c>
      <c r="E5" s="192">
        <v>40</v>
      </c>
      <c r="F5" s="192">
        <v>40</v>
      </c>
      <c r="G5" s="192">
        <v>40</v>
      </c>
      <c r="H5" s="190"/>
      <c r="I5" s="192">
        <v>40</v>
      </c>
      <c r="J5" s="191"/>
      <c r="K5" s="193">
        <v>18</v>
      </c>
    </row>
    <row r="6" spans="2:11" ht="15.75">
      <c r="B6" s="187" t="s">
        <v>197</v>
      </c>
      <c r="C6" s="188"/>
      <c r="D6" s="189">
        <v>648000</v>
      </c>
      <c r="E6" s="189">
        <v>748000</v>
      </c>
      <c r="F6" s="189">
        <v>756000</v>
      </c>
      <c r="G6" s="189">
        <v>668000</v>
      </c>
      <c r="H6" s="190"/>
      <c r="I6" s="189">
        <v>2820000</v>
      </c>
      <c r="J6" s="191"/>
      <c r="K6" s="191"/>
    </row>
    <row r="7" spans="2:11" ht="15.75">
      <c r="B7" s="187" t="s">
        <v>198</v>
      </c>
      <c r="C7" s="188"/>
      <c r="D7" s="192">
        <v>149600</v>
      </c>
      <c r="E7" s="192">
        <v>151200</v>
      </c>
      <c r="F7" s="192">
        <v>133600</v>
      </c>
      <c r="G7" s="192">
        <v>144800</v>
      </c>
      <c r="H7" s="190"/>
      <c r="I7" s="192" t="s">
        <v>115</v>
      </c>
      <c r="J7" s="191"/>
      <c r="K7" s="194">
        <v>0.25</v>
      </c>
    </row>
    <row r="8" spans="2:11" ht="15.75">
      <c r="B8" s="187" t="s">
        <v>199</v>
      </c>
      <c r="C8" s="188"/>
      <c r="D8" s="189" t="s">
        <v>200</v>
      </c>
      <c r="E8" s="189" t="s">
        <v>201</v>
      </c>
      <c r="F8" s="189" t="s">
        <v>202</v>
      </c>
      <c r="G8" s="189" t="s">
        <v>203</v>
      </c>
      <c r="H8" s="190"/>
      <c r="I8" s="195" t="s">
        <v>116</v>
      </c>
      <c r="J8" s="191"/>
      <c r="K8" s="191"/>
    </row>
    <row r="9" spans="2:11" ht="15.75">
      <c r="B9" s="191"/>
      <c r="C9" s="193"/>
      <c r="D9" s="196"/>
      <c r="E9" s="196"/>
      <c r="F9" s="196"/>
      <c r="G9" s="196"/>
      <c r="H9" s="197"/>
      <c r="I9" s="197"/>
      <c r="J9" s="191"/>
      <c r="K9" s="191"/>
    </row>
    <row r="10" spans="2:11" ht="15.75">
      <c r="B10" s="191"/>
      <c r="C10" s="193"/>
      <c r="D10" s="196"/>
      <c r="E10" s="196"/>
      <c r="F10" s="196"/>
      <c r="G10" s="196"/>
      <c r="H10" s="197"/>
      <c r="I10" s="197"/>
      <c r="J10" s="191"/>
      <c r="K10" s="191"/>
    </row>
    <row r="11" spans="2:11" ht="15.75">
      <c r="B11" s="187" t="s">
        <v>194</v>
      </c>
      <c r="C11" s="188"/>
      <c r="D11" s="189"/>
      <c r="E11" s="189"/>
      <c r="F11" s="189"/>
      <c r="G11" s="189"/>
      <c r="H11" s="190"/>
      <c r="I11" s="190"/>
      <c r="J11" s="191"/>
      <c r="K11" s="191"/>
    </row>
    <row r="12" spans="2:11" ht="15.75">
      <c r="B12" s="187" t="s">
        <v>195</v>
      </c>
      <c r="C12" s="188"/>
      <c r="D12" s="189">
        <f>+D21</f>
        <v>16200</v>
      </c>
      <c r="E12" s="189">
        <f>+E21</f>
        <v>18700</v>
      </c>
      <c r="F12" s="189">
        <f>+F21</f>
        <v>18900</v>
      </c>
      <c r="G12" s="189">
        <f>+G21</f>
        <v>16700</v>
      </c>
      <c r="H12" s="190"/>
      <c r="I12" s="189">
        <f>SUM(D12:G12)</f>
        <v>70500</v>
      </c>
      <c r="J12" s="191"/>
      <c r="K12" s="191"/>
    </row>
    <row r="13" spans="2:11" ht="15.75">
      <c r="B13" s="187" t="s">
        <v>196</v>
      </c>
      <c r="C13" s="188"/>
      <c r="D13" s="192">
        <f>+E13</f>
        <v>40</v>
      </c>
      <c r="E13" s="192">
        <f>+F13</f>
        <v>40</v>
      </c>
      <c r="F13" s="192">
        <f>+G13</f>
        <v>40</v>
      </c>
      <c r="G13" s="192">
        <f>+I13</f>
        <v>40</v>
      </c>
      <c r="H13" s="190"/>
      <c r="I13" s="192">
        <f>+I22</f>
        <v>40</v>
      </c>
      <c r="J13" s="191"/>
      <c r="K13" s="191"/>
    </row>
    <row r="14" spans="2:11" ht="15.75">
      <c r="B14" s="187" t="s">
        <v>197</v>
      </c>
      <c r="C14" s="188"/>
      <c r="D14" s="189">
        <f>+D12*D13</f>
        <v>648000</v>
      </c>
      <c r="E14" s="189">
        <f>+E12*E13</f>
        <v>748000</v>
      </c>
      <c r="F14" s="189">
        <f>+F12*F13</f>
        <v>756000</v>
      </c>
      <c r="G14" s="189">
        <f>+G12*G13</f>
        <v>668000</v>
      </c>
      <c r="H14" s="190"/>
      <c r="I14" s="189">
        <f>+I12*I13</f>
        <v>2820000</v>
      </c>
      <c r="J14" s="191"/>
      <c r="K14" s="191"/>
    </row>
    <row r="15" spans="2:11" ht="15.75">
      <c r="B15" s="187" t="s">
        <v>198</v>
      </c>
      <c r="C15" s="188"/>
      <c r="D15" s="192">
        <f>+$C$24*E14</f>
        <v>149600</v>
      </c>
      <c r="E15" s="192">
        <f>+$C$24*F14</f>
        <v>151200</v>
      </c>
      <c r="F15" s="192">
        <f>+$C$24*G14</f>
        <v>133600</v>
      </c>
      <c r="G15" s="192">
        <f>SUM(D15:F15)/3</f>
        <v>144800</v>
      </c>
      <c r="H15" s="190"/>
      <c r="I15" s="192">
        <f>+G15</f>
        <v>144800</v>
      </c>
      <c r="J15" s="191"/>
      <c r="K15" s="191"/>
    </row>
    <row r="16" spans="2:11" ht="15.75">
      <c r="B16" s="187" t="s">
        <v>199</v>
      </c>
      <c r="C16" s="188"/>
      <c r="D16" s="189">
        <f>+D14+D15</f>
        <v>797600</v>
      </c>
      <c r="E16" s="189">
        <f>+E14+E15</f>
        <v>899200</v>
      </c>
      <c r="F16" s="189">
        <f>+F14+F15</f>
        <v>889600</v>
      </c>
      <c r="G16" s="189">
        <f>+G14+G15</f>
        <v>812800</v>
      </c>
      <c r="H16" s="190"/>
      <c r="I16" s="198">
        <f>+I14+I15</f>
        <v>2964800</v>
      </c>
      <c r="J16" s="191"/>
      <c r="K16" s="191"/>
    </row>
    <row r="17" spans="2:11" ht="15.75">
      <c r="B17" s="191"/>
      <c r="C17" s="193"/>
      <c r="D17" s="196"/>
      <c r="E17" s="196"/>
      <c r="F17" s="196"/>
      <c r="G17" s="196"/>
      <c r="H17" s="197"/>
      <c r="I17" s="197"/>
      <c r="J17" s="191"/>
      <c r="K17" s="191"/>
    </row>
    <row r="18" spans="2:11" ht="15.75">
      <c r="B18" s="191"/>
      <c r="C18" s="193"/>
      <c r="D18" s="196"/>
      <c r="E18" s="196"/>
      <c r="F18" s="196"/>
      <c r="G18" s="196"/>
      <c r="H18" s="197"/>
      <c r="I18" s="197"/>
      <c r="J18" s="191"/>
      <c r="K18" s="191"/>
    </row>
    <row r="19" spans="2:11" ht="15.75">
      <c r="B19" s="191"/>
      <c r="C19" s="193"/>
      <c r="D19" s="208"/>
      <c r="E19" s="208"/>
      <c r="F19" s="208"/>
      <c r="G19" s="208"/>
      <c r="H19" s="197"/>
      <c r="I19" s="197"/>
      <c r="J19" s="191"/>
      <c r="K19" s="191"/>
    </row>
    <row r="21" spans="4:9" ht="15.75">
      <c r="D21" s="189">
        <v>16200</v>
      </c>
      <c r="E21" s="189">
        <v>18700</v>
      </c>
      <c r="F21" s="189">
        <v>18900</v>
      </c>
      <c r="G21" s="189">
        <v>16700</v>
      </c>
      <c r="H21" s="190"/>
      <c r="I21" s="189">
        <f>SUM(D21:G21)</f>
        <v>70500</v>
      </c>
    </row>
    <row r="22" spans="4:9" ht="15.75">
      <c r="D22" s="192">
        <f>+E22</f>
        <v>40</v>
      </c>
      <c r="E22" s="192">
        <f>+F22</f>
        <v>40</v>
      </c>
      <c r="F22" s="192">
        <f>+G22</f>
        <v>40</v>
      </c>
      <c r="G22" s="192">
        <f>+I22</f>
        <v>40</v>
      </c>
      <c r="H22" s="190"/>
      <c r="I22" s="192">
        <v>40</v>
      </c>
    </row>
    <row r="23" spans="4:9" ht="15.75">
      <c r="D23" s="189">
        <f>+D21*D22</f>
        <v>648000</v>
      </c>
      <c r="E23" s="189">
        <f>+E21*E22</f>
        <v>748000</v>
      </c>
      <c r="F23" s="189">
        <f>+F21*F22</f>
        <v>756000</v>
      </c>
      <c r="G23" s="189">
        <f>+G21*G22</f>
        <v>668000</v>
      </c>
      <c r="H23" s="190"/>
      <c r="I23" s="189">
        <f>+I21*I22</f>
        <v>2820000</v>
      </c>
    </row>
    <row r="24" spans="3:9" ht="15.75">
      <c r="C24">
        <v>0.2</v>
      </c>
      <c r="D24" s="192">
        <f>+$C$24*E23</f>
        <v>149600</v>
      </c>
      <c r="E24" s="192">
        <f>+$C$24*F23</f>
        <v>151200</v>
      </c>
      <c r="F24" s="192">
        <f>+$C$24*G23</f>
        <v>133600</v>
      </c>
      <c r="G24" s="192">
        <f>SUM(D24:F24)/3</f>
        <v>144800</v>
      </c>
      <c r="H24" s="190"/>
      <c r="I24" s="192">
        <f>+G24</f>
        <v>144800</v>
      </c>
    </row>
    <row r="25" spans="4:9" ht="15.75">
      <c r="D25" s="189">
        <f>+D23+D24</f>
        <v>797600</v>
      </c>
      <c r="E25" s="189">
        <f>+E23+E24</f>
        <v>899200</v>
      </c>
      <c r="F25" s="189">
        <f>+F23+F24</f>
        <v>889600</v>
      </c>
      <c r="G25" s="189">
        <f>+G23+G24</f>
        <v>812800</v>
      </c>
      <c r="H25" s="190"/>
      <c r="I25" s="189">
        <f>+I23+I24</f>
        <v>2964800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6.375" style="74" customWidth="1"/>
    <col min="2" max="2" width="15.125" style="74" customWidth="1"/>
    <col min="3" max="6" width="12.625" style="74" customWidth="1"/>
    <col min="7" max="7" width="10.375" style="74" bestFit="1" customWidth="1"/>
    <col min="8" max="8" width="12.75390625" style="74" customWidth="1"/>
    <col min="9" max="9" width="11.50390625" style="74" customWidth="1"/>
    <col min="10" max="10" width="12.875" style="74" customWidth="1"/>
    <col min="11" max="11" width="9.00390625" style="74" customWidth="1"/>
    <col min="12" max="12" width="10.375" style="74" bestFit="1" customWidth="1"/>
    <col min="13" max="16384" width="9.00390625" style="74" customWidth="1"/>
  </cols>
  <sheetData>
    <row r="1" spans="1:8" ht="15.75">
      <c r="A1" s="103"/>
      <c r="B1" s="103"/>
      <c r="C1" s="103"/>
      <c r="D1" s="103"/>
      <c r="E1" s="103"/>
      <c r="F1" s="103"/>
      <c r="G1" s="103"/>
      <c r="H1" s="103"/>
    </row>
    <row r="2" spans="1:8" ht="15.75">
      <c r="A2" s="103"/>
      <c r="B2" s="103"/>
      <c r="C2" s="252" t="s">
        <v>101</v>
      </c>
      <c r="D2" s="252" t="s">
        <v>105</v>
      </c>
      <c r="E2" s="252" t="s">
        <v>106</v>
      </c>
      <c r="F2" s="252"/>
      <c r="G2" s="103"/>
      <c r="H2" s="103"/>
    </row>
    <row r="3" spans="1:8" ht="15.75">
      <c r="A3" s="103"/>
      <c r="B3" s="103"/>
      <c r="C3" s="103"/>
      <c r="D3" s="252"/>
      <c r="E3" s="252"/>
      <c r="F3" s="252"/>
      <c r="G3" s="103"/>
      <c r="H3" s="103"/>
    </row>
    <row r="4" spans="1:8" ht="15.75">
      <c r="A4" s="103"/>
      <c r="B4" s="117" t="s">
        <v>6</v>
      </c>
      <c r="C4" s="103">
        <v>60</v>
      </c>
      <c r="D4" s="253">
        <v>2.5</v>
      </c>
      <c r="E4" s="252">
        <f>+C4*D4</f>
        <v>150</v>
      </c>
      <c r="F4" s="252"/>
      <c r="G4" s="103"/>
      <c r="H4" s="103"/>
    </row>
    <row r="5" spans="1:8" ht="15.75">
      <c r="A5" s="103"/>
      <c r="B5" s="103"/>
      <c r="C5" s="103"/>
      <c r="D5" s="252"/>
      <c r="E5" s="252"/>
      <c r="F5" s="252"/>
      <c r="G5" s="103"/>
      <c r="H5" s="103"/>
    </row>
    <row r="6" spans="1:8" ht="15.75">
      <c r="A6" s="103"/>
      <c r="B6" s="252" t="s">
        <v>100</v>
      </c>
      <c r="C6" s="252"/>
      <c r="D6" s="252" t="s">
        <v>100</v>
      </c>
      <c r="E6" s="252"/>
      <c r="F6" s="252" t="s">
        <v>101</v>
      </c>
      <c r="G6" s="103"/>
      <c r="H6" s="103"/>
    </row>
    <row r="7" spans="1:8" ht="15.75">
      <c r="A7" s="103"/>
      <c r="B7" s="252" t="s">
        <v>102</v>
      </c>
      <c r="C7" s="252"/>
      <c r="D7" s="252" t="s">
        <v>103</v>
      </c>
      <c r="E7" s="252"/>
      <c r="F7" s="252" t="s">
        <v>104</v>
      </c>
      <c r="G7" s="103"/>
      <c r="H7" s="103"/>
    </row>
    <row r="8" spans="1:8" ht="15.75">
      <c r="A8" s="103"/>
      <c r="B8" s="103"/>
      <c r="C8" s="252"/>
      <c r="D8" s="252"/>
      <c r="E8" s="165"/>
      <c r="F8" s="165"/>
      <c r="G8" s="103"/>
      <c r="H8" s="103"/>
    </row>
    <row r="9" spans="1:9" ht="15.75">
      <c r="A9" s="103"/>
      <c r="B9" s="114">
        <f>78000*2</f>
        <v>156000</v>
      </c>
      <c r="C9" s="252"/>
      <c r="D9" s="114">
        <f>+B9</f>
        <v>156000</v>
      </c>
      <c r="E9" s="165"/>
      <c r="F9" s="166"/>
      <c r="G9" s="103"/>
      <c r="H9" s="114">
        <f>+B9</f>
        <v>156000</v>
      </c>
      <c r="I9" s="173"/>
    </row>
    <row r="10" spans="2:9" ht="15.75">
      <c r="B10" s="172">
        <f>+B11/B9</f>
        <v>2.55</v>
      </c>
      <c r="C10" s="164"/>
      <c r="D10" s="167">
        <f>+D4</f>
        <v>2.5</v>
      </c>
      <c r="E10" s="165"/>
      <c r="F10" s="165"/>
      <c r="H10" s="254">
        <f>+H11/H9</f>
        <v>2.45</v>
      </c>
      <c r="I10" s="174"/>
    </row>
    <row r="11" spans="2:9" ht="15.75">
      <c r="B11" s="171">
        <f>+D11-C11</f>
        <v>397800</v>
      </c>
      <c r="C11" s="171">
        <v>-7800</v>
      </c>
      <c r="D11" s="171">
        <f>+D10*D9</f>
        <v>390000</v>
      </c>
      <c r="E11" s="166"/>
      <c r="F11" s="166"/>
      <c r="G11" s="103"/>
      <c r="H11" s="171">
        <f>+D11+C11</f>
        <v>382200</v>
      </c>
      <c r="I11" s="166"/>
    </row>
    <row r="12" spans="2:6" ht="15.75">
      <c r="B12" s="164"/>
      <c r="C12" s="164"/>
      <c r="D12" s="164"/>
      <c r="E12" s="165"/>
      <c r="F12" s="165"/>
    </row>
    <row r="13" spans="1:13" ht="15.75">
      <c r="A13" s="103"/>
      <c r="B13" s="255"/>
      <c r="C13" s="103"/>
      <c r="D13" s="166"/>
      <c r="E13" s="252"/>
      <c r="F13" s="171">
        <v>2500</v>
      </c>
      <c r="G13" s="103"/>
      <c r="H13" s="103"/>
      <c r="I13" s="103"/>
      <c r="J13" s="256"/>
      <c r="K13" s="103"/>
      <c r="L13" s="103"/>
      <c r="M13" s="103"/>
    </row>
    <row r="14" spans="1:13" ht="15.75">
      <c r="A14" s="103"/>
      <c r="B14" s="255"/>
      <c r="C14" s="103"/>
      <c r="D14" s="165"/>
      <c r="E14" s="252"/>
      <c r="F14" s="257">
        <f>+C4</f>
        <v>60</v>
      </c>
      <c r="G14" s="103"/>
      <c r="H14" s="103"/>
      <c r="I14" s="103"/>
      <c r="J14" s="103"/>
      <c r="K14" s="103"/>
      <c r="L14" s="103"/>
      <c r="M14" s="103"/>
    </row>
    <row r="15" spans="1:13" ht="15.75">
      <c r="A15" s="103"/>
      <c r="B15" s="258">
        <f>+B9</f>
        <v>156000</v>
      </c>
      <c r="C15" s="259"/>
      <c r="D15" s="171">
        <f>77688*2</f>
        <v>155376</v>
      </c>
      <c r="E15" s="252"/>
      <c r="F15" s="171">
        <f>+F14*F13</f>
        <v>150000</v>
      </c>
      <c r="G15" s="103"/>
      <c r="H15" s="114">
        <f>+B15</f>
        <v>156000</v>
      </c>
      <c r="I15" s="103"/>
      <c r="J15" s="103"/>
      <c r="K15" s="103"/>
      <c r="L15" s="103"/>
      <c r="M15" s="103"/>
    </row>
    <row r="16" spans="1:13" ht="15.75">
      <c r="A16" s="103"/>
      <c r="B16" s="260">
        <f>+B17/B15</f>
        <v>2.54</v>
      </c>
      <c r="C16" s="261"/>
      <c r="D16" s="262">
        <f>+D4</f>
        <v>2.5</v>
      </c>
      <c r="E16" s="252"/>
      <c r="F16" s="262">
        <f>+D4</f>
        <v>2.5</v>
      </c>
      <c r="G16" s="103"/>
      <c r="H16" s="254">
        <f>+H17/H15</f>
        <v>2.44</v>
      </c>
      <c r="I16" s="103"/>
      <c r="J16" s="103"/>
      <c r="K16" s="103"/>
      <c r="L16" s="103"/>
      <c r="M16" s="103"/>
    </row>
    <row r="17" spans="1:13" ht="15.75">
      <c r="A17" s="103"/>
      <c r="B17" s="168">
        <f>+D17-C17</f>
        <v>396240</v>
      </c>
      <c r="C17" s="168">
        <f>+C11</f>
        <v>-7800</v>
      </c>
      <c r="D17" s="171">
        <f>+D16*D15</f>
        <v>388440</v>
      </c>
      <c r="E17" s="171">
        <f>+F17-D17</f>
        <v>-13440</v>
      </c>
      <c r="F17" s="171">
        <f>+F16*F15</f>
        <v>375000</v>
      </c>
      <c r="G17" s="103"/>
      <c r="H17" s="171">
        <f>+D17+C17</f>
        <v>380640</v>
      </c>
      <c r="I17" s="103"/>
      <c r="J17" s="103"/>
      <c r="K17" s="103"/>
      <c r="L17" s="103"/>
      <c r="M17" s="103"/>
    </row>
    <row r="18" spans="1:13" ht="15.75">
      <c r="A18" s="103"/>
      <c r="B18" s="169"/>
      <c r="C18" s="259"/>
      <c r="D18" s="103"/>
      <c r="E18" s="103"/>
      <c r="F18" s="103"/>
      <c r="G18" s="103"/>
      <c r="H18" s="263"/>
      <c r="I18" s="103"/>
      <c r="J18" s="103"/>
      <c r="K18" s="103"/>
      <c r="L18" s="103"/>
      <c r="M18" s="103"/>
    </row>
    <row r="19" spans="1:13" ht="15.75">
      <c r="A19" s="103"/>
      <c r="B19" s="169"/>
      <c r="C19" s="259"/>
      <c r="D19" s="263">
        <f>+C11+E17</f>
        <v>-21240</v>
      </c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5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5.75">
      <c r="A22" s="103"/>
      <c r="B22" s="103"/>
      <c r="C22" s="252" t="s">
        <v>101</v>
      </c>
      <c r="D22" s="252" t="s">
        <v>105</v>
      </c>
      <c r="E22" s="252" t="s">
        <v>106</v>
      </c>
      <c r="F22" s="252"/>
      <c r="G22" s="103"/>
      <c r="H22" s="103"/>
      <c r="I22" s="252" t="s">
        <v>101</v>
      </c>
      <c r="J22" s="252" t="s">
        <v>105</v>
      </c>
      <c r="K22" s="252" t="s">
        <v>106</v>
      </c>
      <c r="L22" s="252"/>
      <c r="M22" s="103"/>
    </row>
    <row r="23" spans="1:13" ht="15.75">
      <c r="A23" s="103"/>
      <c r="B23" s="103"/>
      <c r="C23" s="103"/>
      <c r="D23" s="252"/>
      <c r="E23" s="252"/>
      <c r="F23" s="252"/>
      <c r="G23" s="103"/>
      <c r="H23" s="103"/>
      <c r="I23" s="103"/>
      <c r="J23" s="252"/>
      <c r="K23" s="252"/>
      <c r="L23" s="252"/>
      <c r="M23" s="103"/>
    </row>
    <row r="24" spans="1:13" ht="15.75">
      <c r="A24" s="103"/>
      <c r="B24" s="117" t="s">
        <v>183</v>
      </c>
      <c r="C24" s="103">
        <v>11</v>
      </c>
      <c r="D24" s="253">
        <v>10</v>
      </c>
      <c r="E24" s="252">
        <f>+C24*D24</f>
        <v>110</v>
      </c>
      <c r="F24" s="252"/>
      <c r="G24" s="103"/>
      <c r="H24" s="117" t="s">
        <v>183</v>
      </c>
      <c r="I24" s="103">
        <f>+C24</f>
        <v>11</v>
      </c>
      <c r="J24" s="253">
        <f>+D24</f>
        <v>10</v>
      </c>
      <c r="K24" s="252">
        <f>+I24*J24</f>
        <v>110</v>
      </c>
      <c r="L24" s="252"/>
      <c r="M24" s="103"/>
    </row>
    <row r="25" spans="1:13" ht="15.75">
      <c r="A25" s="103"/>
      <c r="B25" s="103"/>
      <c r="C25" s="103"/>
      <c r="D25" s="252"/>
      <c r="E25" s="252"/>
      <c r="F25" s="252"/>
      <c r="G25" s="103"/>
      <c r="H25" s="103"/>
      <c r="I25" s="103"/>
      <c r="J25" s="252"/>
      <c r="K25" s="252"/>
      <c r="L25" s="252"/>
      <c r="M25" s="103"/>
    </row>
    <row r="26" spans="1:13" ht="15.75">
      <c r="A26" s="103"/>
      <c r="B26" s="252" t="s">
        <v>100</v>
      </c>
      <c r="C26" s="252"/>
      <c r="D26" s="252" t="s">
        <v>100</v>
      </c>
      <c r="E26" s="252"/>
      <c r="F26" s="252" t="s">
        <v>101</v>
      </c>
      <c r="G26" s="103"/>
      <c r="H26" s="252" t="s">
        <v>100</v>
      </c>
      <c r="I26" s="252"/>
      <c r="J26" s="252" t="s">
        <v>100</v>
      </c>
      <c r="K26" s="252"/>
      <c r="L26" s="252" t="s">
        <v>101</v>
      </c>
      <c r="M26" s="103"/>
    </row>
    <row r="27" spans="1:13" ht="15.75">
      <c r="A27" s="103"/>
      <c r="B27" s="252" t="s">
        <v>102</v>
      </c>
      <c r="C27" s="252"/>
      <c r="D27" s="252" t="s">
        <v>103</v>
      </c>
      <c r="E27" s="252"/>
      <c r="F27" s="252" t="s">
        <v>104</v>
      </c>
      <c r="G27" s="103"/>
      <c r="H27" s="252" t="s">
        <v>102</v>
      </c>
      <c r="I27" s="252"/>
      <c r="J27" s="252" t="s">
        <v>103</v>
      </c>
      <c r="K27" s="252"/>
      <c r="L27" s="252" t="s">
        <v>104</v>
      </c>
      <c r="M27" s="103"/>
    </row>
    <row r="28" spans="1:13" ht="15.75">
      <c r="A28" s="103"/>
      <c r="B28" s="252"/>
      <c r="C28" s="252"/>
      <c r="D28" s="252"/>
      <c r="E28" s="252"/>
      <c r="F28" s="252"/>
      <c r="G28" s="103"/>
      <c r="H28" s="252"/>
      <c r="I28" s="252"/>
      <c r="J28" s="252"/>
      <c r="K28" s="252"/>
      <c r="L28" s="252"/>
      <c r="M28" s="103"/>
    </row>
    <row r="29" spans="1:13" ht="15.75">
      <c r="A29" s="103"/>
      <c r="B29" s="252"/>
      <c r="C29" s="252"/>
      <c r="D29" s="252"/>
      <c r="E29" s="252"/>
      <c r="F29" s="171">
        <f>+F13</f>
        <v>2500</v>
      </c>
      <c r="G29" s="103"/>
      <c r="H29" s="252"/>
      <c r="I29" s="252"/>
      <c r="J29" s="252"/>
      <c r="K29" s="252"/>
      <c r="L29" s="171">
        <f>+F29</f>
        <v>2500</v>
      </c>
      <c r="M29" s="103"/>
    </row>
    <row r="30" spans="1:13" ht="15.75">
      <c r="A30" s="103"/>
      <c r="B30" s="103"/>
      <c r="C30" s="252"/>
      <c r="D30" s="252"/>
      <c r="E30" s="252"/>
      <c r="F30" s="257">
        <f>+C24</f>
        <v>11</v>
      </c>
      <c r="G30" s="103"/>
      <c r="H30" s="103"/>
      <c r="I30" s="252"/>
      <c r="J30" s="252"/>
      <c r="K30" s="252"/>
      <c r="L30" s="257">
        <f>+I24</f>
        <v>11</v>
      </c>
      <c r="M30" s="103"/>
    </row>
    <row r="31" spans="2:13" ht="15.75">
      <c r="B31" s="114">
        <f>+D31</f>
        <v>27125</v>
      </c>
      <c r="C31" s="164"/>
      <c r="D31" s="175">
        <f>+D33/D32</f>
        <v>27125</v>
      </c>
      <c r="E31" s="252"/>
      <c r="F31" s="171">
        <f>+F30*F29</f>
        <v>27500</v>
      </c>
      <c r="G31" s="103"/>
      <c r="H31" s="114">
        <f>+J31</f>
        <v>27250</v>
      </c>
      <c r="I31" s="252"/>
      <c r="J31" s="264">
        <f>+J33/J32</f>
        <v>27250</v>
      </c>
      <c r="K31" s="252"/>
      <c r="L31" s="171">
        <f>+L30*L29</f>
        <v>27500</v>
      </c>
      <c r="M31" s="103"/>
    </row>
    <row r="32" spans="2:13" ht="15.75">
      <c r="B32" s="170">
        <f>+B33/B31</f>
        <v>9.861751152073733</v>
      </c>
      <c r="C32" s="164"/>
      <c r="D32" s="167">
        <f>+D24</f>
        <v>10</v>
      </c>
      <c r="E32" s="252"/>
      <c r="F32" s="262">
        <f>+D24</f>
        <v>10</v>
      </c>
      <c r="G32" s="103"/>
      <c r="H32" s="265">
        <f>+H33/H31</f>
        <v>9.81651376146789</v>
      </c>
      <c r="I32" s="252"/>
      <c r="J32" s="262">
        <f>+J24</f>
        <v>10</v>
      </c>
      <c r="K32" s="252"/>
      <c r="L32" s="262">
        <f>+J24</f>
        <v>10</v>
      </c>
      <c r="M32" s="103"/>
    </row>
    <row r="33" spans="1:13" ht="15.75">
      <c r="A33" s="103"/>
      <c r="B33" s="171">
        <v>267500</v>
      </c>
      <c r="C33" s="171">
        <f>+(F33-B33)/(C34+E34)*C34</f>
        <v>3750</v>
      </c>
      <c r="D33" s="171">
        <f>+F33-E33</f>
        <v>271250</v>
      </c>
      <c r="E33" s="171">
        <f>+(F33-B33)/(C34+E34)*E34</f>
        <v>3750</v>
      </c>
      <c r="F33" s="171">
        <f>+F32*F31</f>
        <v>275000</v>
      </c>
      <c r="G33" s="103"/>
      <c r="H33" s="171">
        <v>267500</v>
      </c>
      <c r="I33" s="171">
        <f>+(L33-H33)/(I34+K34)*I34</f>
        <v>5000</v>
      </c>
      <c r="J33" s="171">
        <f>+L33-K33</f>
        <v>272500</v>
      </c>
      <c r="K33" s="171">
        <f>+(L33-H33)/(I34+K34)*K34</f>
        <v>2500</v>
      </c>
      <c r="L33" s="171">
        <f>+L32*L31</f>
        <v>275000</v>
      </c>
      <c r="M33" s="103"/>
    </row>
    <row r="34" spans="1:13" ht="15.75">
      <c r="A34" s="103"/>
      <c r="B34" s="103"/>
      <c r="C34" s="103">
        <v>1</v>
      </c>
      <c r="D34" s="103"/>
      <c r="E34" s="103">
        <v>1</v>
      </c>
      <c r="F34" s="103"/>
      <c r="G34" s="103"/>
      <c r="H34" s="103"/>
      <c r="I34" s="103">
        <v>2</v>
      </c>
      <c r="J34" s="103"/>
      <c r="K34" s="103">
        <v>1</v>
      </c>
      <c r="L34" s="103"/>
      <c r="M34" s="103"/>
    </row>
    <row r="35" spans="1:13" ht="15.75">
      <c r="A35" s="103"/>
      <c r="B35" s="103"/>
      <c r="C35" s="103"/>
      <c r="D35" s="263">
        <f>+C33+E33</f>
        <v>7500</v>
      </c>
      <c r="E35" s="103"/>
      <c r="F35" s="103"/>
      <c r="G35" s="103"/>
      <c r="H35" s="103"/>
      <c r="I35" s="103"/>
      <c r="J35" s="263">
        <f>+I33+K33</f>
        <v>7500</v>
      </c>
      <c r="K35" s="103"/>
      <c r="L35" s="103"/>
      <c r="M35" s="103"/>
    </row>
    <row r="36" spans="1:13" ht="15.75">
      <c r="A36" s="103"/>
      <c r="B36" s="247"/>
      <c r="C36" s="103"/>
      <c r="D36" s="26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ht="15.75">
      <c r="A37" s="103"/>
      <c r="B37" s="266">
        <f>+B33/D32</f>
        <v>26750</v>
      </c>
      <c r="C37" s="103"/>
      <c r="D37" s="267">
        <f>+F31+(J31-D31)</f>
        <v>27625</v>
      </c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5" ht="15.75">
      <c r="A38" s="103"/>
      <c r="B38" s="103"/>
      <c r="C38" s="103"/>
      <c r="D38" s="176"/>
      <c r="E38" s="103"/>
    </row>
    <row r="39" spans="1:5" ht="15.75">
      <c r="A39" s="103"/>
      <c r="B39" s="103"/>
      <c r="C39" s="103"/>
      <c r="D39" s="166"/>
      <c r="E39" s="103"/>
    </row>
    <row r="40" ht="15.75">
      <c r="D40" s="78"/>
    </row>
  </sheetData>
  <sheetProtection/>
  <printOptions/>
  <pageMargins left="0.5511811023622047" right="0.35433070866141736" top="0.7874015748031497" bottom="0.5905511811023623" header="0.5118110236220472" footer="0.5118110236220472"/>
  <pageSetup fitToHeight="0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E27" sqref="E27"/>
    </sheetView>
  </sheetViews>
  <sheetFormatPr defaultColWidth="9.00390625" defaultRowHeight="15.75"/>
  <cols>
    <col min="2" max="2" width="35.625" style="0" customWidth="1"/>
    <col min="5" max="5" width="13.375" style="0" customWidth="1"/>
    <col min="6" max="6" width="14.125" style="0" customWidth="1"/>
    <col min="8" max="8" width="17.50390625" style="0" customWidth="1"/>
    <col min="9" max="9" width="10.375" style="0" bestFit="1" customWidth="1"/>
    <col min="11" max="11" width="16.125" style="0" customWidth="1"/>
  </cols>
  <sheetData>
    <row r="2" spans="3:9" ht="15.75">
      <c r="C2" s="1" t="s">
        <v>118</v>
      </c>
      <c r="D2" s="1" t="s">
        <v>119</v>
      </c>
      <c r="H2" s="48" t="s">
        <v>190</v>
      </c>
      <c r="I2" s="160">
        <v>0</v>
      </c>
    </row>
    <row r="3" spans="8:9" ht="15.75">
      <c r="H3" s="48" t="s">
        <v>3</v>
      </c>
      <c r="I3" s="160">
        <v>2800</v>
      </c>
    </row>
    <row r="4" spans="2:9" ht="15.75">
      <c r="B4" t="s">
        <v>6</v>
      </c>
      <c r="C4" s="57">
        <f>30*3</f>
        <v>90</v>
      </c>
      <c r="D4" s="63">
        <f>27*2</f>
        <v>54</v>
      </c>
      <c r="E4" s="46">
        <f>+C4*D4</f>
        <v>4860</v>
      </c>
      <c r="H4" s="48" t="s">
        <v>191</v>
      </c>
      <c r="I4" s="161">
        <v>200</v>
      </c>
    </row>
    <row r="5" spans="2:9" ht="15.75">
      <c r="B5" t="s">
        <v>63</v>
      </c>
      <c r="C5" s="57">
        <f>12*3</f>
        <v>36</v>
      </c>
      <c r="D5" s="63">
        <f>10.5*2</f>
        <v>21</v>
      </c>
      <c r="E5" s="58">
        <f>+C5*D5</f>
        <v>756</v>
      </c>
      <c r="H5" s="48" t="s">
        <v>192</v>
      </c>
      <c r="I5" s="2">
        <f>+I3+I4-I2</f>
        <v>3000</v>
      </c>
    </row>
    <row r="6" spans="2:5" ht="15.75">
      <c r="B6" t="s">
        <v>121</v>
      </c>
      <c r="E6" s="46">
        <f>+E4+E5</f>
        <v>5616</v>
      </c>
    </row>
    <row r="7" spans="2:9" ht="15.75">
      <c r="B7" t="s">
        <v>246</v>
      </c>
      <c r="E7" s="180">
        <f>+I7/I4</f>
        <v>9720</v>
      </c>
      <c r="H7" s="48" t="s">
        <v>193</v>
      </c>
      <c r="I7" s="183">
        <f>324000*3*2</f>
        <v>1944000</v>
      </c>
    </row>
    <row r="8" spans="2:5" ht="15.75">
      <c r="B8" t="s">
        <v>120</v>
      </c>
      <c r="E8" s="46">
        <f>+E7-E6</f>
        <v>4104</v>
      </c>
    </row>
    <row r="9" spans="2:5" ht="15.75">
      <c r="B9" s="37" t="s">
        <v>122</v>
      </c>
      <c r="E9" s="64">
        <f>24*2</f>
        <v>48</v>
      </c>
    </row>
    <row r="10" spans="2:5" ht="15.75">
      <c r="B10" s="37" t="s">
        <v>123</v>
      </c>
      <c r="E10" s="59">
        <f>+E8/E9</f>
        <v>85.5</v>
      </c>
    </row>
    <row r="11" ht="15.75">
      <c r="B11" t="s">
        <v>120</v>
      </c>
    </row>
    <row r="12" spans="2:11" ht="15.75">
      <c r="B12" s="48" t="s">
        <v>184</v>
      </c>
      <c r="E12">
        <f>+E10</f>
        <v>85.5</v>
      </c>
      <c r="I12" s="47"/>
      <c r="J12" s="8">
        <f>+E12</f>
        <v>85.5</v>
      </c>
      <c r="K12" s="8"/>
    </row>
    <row r="13" spans="2:11" ht="15.75">
      <c r="B13" s="48" t="s">
        <v>185</v>
      </c>
      <c r="E13" s="65">
        <v>85</v>
      </c>
      <c r="I13" s="47"/>
      <c r="J13" s="179">
        <f>+E13</f>
        <v>85</v>
      </c>
      <c r="K13" s="8"/>
    </row>
    <row r="14" spans="2:11" ht="15.75">
      <c r="B14" s="48" t="s">
        <v>186</v>
      </c>
      <c r="F14">
        <f>+E12-E13</f>
        <v>0.5</v>
      </c>
      <c r="I14" s="47"/>
      <c r="J14" s="8"/>
      <c r="K14" s="8">
        <f>+J12-J13</f>
        <v>0.5</v>
      </c>
    </row>
    <row r="15" spans="2:11" ht="15.75">
      <c r="B15" t="s">
        <v>124</v>
      </c>
      <c r="F15" s="178">
        <f>+I5</f>
        <v>3000</v>
      </c>
      <c r="I15" s="47"/>
      <c r="J15" s="8"/>
      <c r="K15" s="178">
        <f>+I3</f>
        <v>2800</v>
      </c>
    </row>
    <row r="16" spans="2:11" ht="15.75">
      <c r="B16" s="48" t="s">
        <v>187</v>
      </c>
      <c r="F16">
        <f>+F14*F15</f>
        <v>1500</v>
      </c>
      <c r="H16">
        <f>+F16</f>
        <v>1500</v>
      </c>
      <c r="J16" s="8"/>
      <c r="K16" s="8">
        <f>+K14*K15</f>
        <v>1400</v>
      </c>
    </row>
    <row r="17" spans="2:11" ht="15.75">
      <c r="B17" t="s">
        <v>125</v>
      </c>
      <c r="F17" s="58">
        <f>+E9</f>
        <v>48</v>
      </c>
      <c r="H17" s="60">
        <f>+E21</f>
        <v>0</v>
      </c>
      <c r="J17" s="8"/>
      <c r="K17" s="163">
        <f>+F17</f>
        <v>48</v>
      </c>
    </row>
    <row r="18" spans="2:11" ht="15.75">
      <c r="B18" s="48" t="s">
        <v>188</v>
      </c>
      <c r="F18" s="62">
        <f>+F16*F17</f>
        <v>72000</v>
      </c>
      <c r="H18" s="182">
        <f>+H16*H17</f>
        <v>0</v>
      </c>
      <c r="J18" s="8"/>
      <c r="K18" s="181">
        <f>+K16*K17</f>
        <v>67200</v>
      </c>
    </row>
    <row r="19" spans="8:11" ht="15.75">
      <c r="H19" s="177" t="s">
        <v>189</v>
      </c>
      <c r="J19" s="8"/>
      <c r="K19" s="8"/>
    </row>
    <row r="20" spans="2:11" ht="15.75">
      <c r="B20" s="48"/>
      <c r="E20" s="60"/>
      <c r="H20" s="8"/>
      <c r="J20" s="67"/>
      <c r="K20" s="8"/>
    </row>
    <row r="21" spans="2:11" ht="15.75">
      <c r="B21" s="48"/>
      <c r="E21" s="64"/>
      <c r="H21" s="8"/>
      <c r="J21" s="180"/>
      <c r="K21" s="8"/>
    </row>
    <row r="22" spans="2:11" ht="15.75">
      <c r="B22" s="48"/>
      <c r="F22" s="46"/>
      <c r="H22" s="67"/>
      <c r="J22" s="8"/>
      <c r="K22" s="162"/>
    </row>
    <row r="23" spans="5:11" ht="15.75">
      <c r="E23" s="13"/>
      <c r="H23" s="8"/>
      <c r="J23" s="16"/>
      <c r="K23" s="8"/>
    </row>
    <row r="24" spans="2:11" ht="15.75">
      <c r="B24" s="48"/>
      <c r="E24" s="61"/>
      <c r="H24" s="8"/>
      <c r="J24" s="179"/>
      <c r="K24" s="8"/>
    </row>
    <row r="25" spans="5:11" ht="15.75">
      <c r="E25" s="13"/>
      <c r="F25" s="61"/>
      <c r="H25" s="8"/>
      <c r="J25" s="16"/>
      <c r="K25" s="179"/>
    </row>
    <row r="26" spans="2:11" ht="15.75">
      <c r="B26" s="48"/>
      <c r="F26" s="66"/>
      <c r="H26" s="182"/>
      <c r="J26" s="8"/>
      <c r="K26" s="66"/>
    </row>
    <row r="27" spans="6:11" ht="15.75">
      <c r="F27" s="48"/>
      <c r="H27" s="48"/>
      <c r="J27" s="8"/>
      <c r="K27" s="1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2:J15"/>
  <sheetViews>
    <sheetView zoomScalePageLayoutView="0" workbookViewId="0" topLeftCell="A1">
      <selection activeCell="H32" sqref="H32"/>
    </sheetView>
  </sheetViews>
  <sheetFormatPr defaultColWidth="9.00390625" defaultRowHeight="15.75"/>
  <cols>
    <col min="1" max="6" width="9.00390625" style="26" customWidth="1"/>
    <col min="7" max="7" width="15.50390625" style="26" bestFit="1" customWidth="1"/>
    <col min="8" max="8" width="16.625" style="26" customWidth="1"/>
    <col min="9" max="9" width="15.75390625" style="26" customWidth="1"/>
    <col min="10" max="10" width="13.00390625" style="26" bestFit="1" customWidth="1"/>
    <col min="11" max="16384" width="9.00390625" style="26" customWidth="1"/>
  </cols>
  <sheetData>
    <row r="2" spans="5:9" ht="15.75">
      <c r="E2" s="26" t="s">
        <v>234</v>
      </c>
      <c r="G2" s="26">
        <v>50500000</v>
      </c>
      <c r="H2" s="26">
        <v>7000000</v>
      </c>
      <c r="I2" s="26">
        <f>+G2+H2</f>
        <v>57500000</v>
      </c>
    </row>
    <row r="3" spans="5:9" ht="15.75">
      <c r="E3" s="26" t="s">
        <v>110</v>
      </c>
      <c r="G3" s="26">
        <v>26500000</v>
      </c>
      <c r="H3" s="26">
        <v>3600000</v>
      </c>
      <c r="I3" s="26">
        <f>+G3+H3</f>
        <v>30100000</v>
      </c>
    </row>
    <row r="4" spans="5:10" ht="15.75">
      <c r="E4" s="26" t="s">
        <v>219</v>
      </c>
      <c r="G4" s="26">
        <f>+G2-G3</f>
        <v>24000000</v>
      </c>
      <c r="H4" s="26">
        <f>+H2-H3</f>
        <v>3400000</v>
      </c>
      <c r="I4" s="26">
        <f>+G4+H4</f>
        <v>27400000</v>
      </c>
      <c r="J4" s="26">
        <f>+I2-I3</f>
        <v>27400000</v>
      </c>
    </row>
    <row r="5" spans="5:9" ht="15.75">
      <c r="E5" s="26" t="s">
        <v>235</v>
      </c>
      <c r="G5" s="26">
        <v>14000000</v>
      </c>
      <c r="H5" s="26">
        <v>2200000</v>
      </c>
      <c r="I5" s="26">
        <f>+G5+H5</f>
        <v>16200000</v>
      </c>
    </row>
    <row r="6" spans="5:10" ht="15.75">
      <c r="E6" s="224" t="s">
        <v>237</v>
      </c>
      <c r="G6" s="26">
        <f>+G4-G5</f>
        <v>10000000</v>
      </c>
      <c r="H6" s="26">
        <f>+H4-H5</f>
        <v>1200000</v>
      </c>
      <c r="I6" s="26">
        <f>+G6+H6</f>
        <v>11200000</v>
      </c>
      <c r="J6" s="26">
        <f>+J4-I5</f>
        <v>11200000</v>
      </c>
    </row>
    <row r="8" spans="5:9" ht="15.75">
      <c r="E8" s="224" t="s">
        <v>236</v>
      </c>
      <c r="G8" s="26">
        <v>32000000</v>
      </c>
      <c r="H8" s="26">
        <v>5000000</v>
      </c>
      <c r="I8" s="26">
        <f>+G8+H8</f>
        <v>37000000</v>
      </c>
    </row>
    <row r="10" spans="7:9" ht="15.75">
      <c r="G10" s="225">
        <f>+G6/G8</f>
        <v>0.3125</v>
      </c>
      <c r="H10" s="225">
        <f>+H6/H8</f>
        <v>0.24</v>
      </c>
      <c r="I10" s="225">
        <f>+I6/I8</f>
        <v>0.3027027027027027</v>
      </c>
    </row>
    <row r="12" spans="7:9" ht="15.75">
      <c r="G12" s="15">
        <v>0.2</v>
      </c>
      <c r="H12" s="15">
        <v>0.2</v>
      </c>
      <c r="I12" s="15">
        <v>0.2</v>
      </c>
    </row>
    <row r="13" spans="4:9" ht="15.75">
      <c r="D13" s="224" t="s">
        <v>238</v>
      </c>
      <c r="E13" s="224" t="s">
        <v>237</v>
      </c>
      <c r="G13" s="26">
        <f>+G8*G12</f>
        <v>6400000</v>
      </c>
      <c r="H13" s="26">
        <f>+H8*H12</f>
        <v>1000000</v>
      </c>
      <c r="I13" s="26">
        <f>+I8*I12</f>
        <v>7400000</v>
      </c>
    </row>
    <row r="14" spans="4:9" ht="15.75">
      <c r="D14" s="224" t="s">
        <v>239</v>
      </c>
      <c r="E14" s="224" t="s">
        <v>237</v>
      </c>
      <c r="G14" s="26">
        <f>+G6</f>
        <v>10000000</v>
      </c>
      <c r="H14" s="26">
        <f>+H6</f>
        <v>1200000</v>
      </c>
      <c r="I14" s="26">
        <f>+I6</f>
        <v>11200000</v>
      </c>
    </row>
    <row r="15" spans="5:9" ht="15.75">
      <c r="E15" s="224" t="s">
        <v>240</v>
      </c>
      <c r="G15" s="26">
        <f>+G14-G13</f>
        <v>3600000</v>
      </c>
      <c r="H15" s="26">
        <f>+H14-H13</f>
        <v>200000</v>
      </c>
      <c r="I15" s="226">
        <f>+I14-I13</f>
        <v>3800000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3.375" style="0" customWidth="1"/>
    <col min="2" max="2" width="35.125" style="0" customWidth="1"/>
    <col min="3" max="4" width="18.125" style="0" bestFit="1" customWidth="1"/>
    <col min="5" max="5" width="20.50390625" style="0" bestFit="1" customWidth="1"/>
  </cols>
  <sheetData>
    <row r="1" spans="1:15" ht="15.75">
      <c r="A1" s="209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.75">
      <c r="A2" s="209"/>
      <c r="B2" s="211" t="s">
        <v>220</v>
      </c>
      <c r="C2" s="211" t="s">
        <v>230</v>
      </c>
      <c r="D2" s="212" t="s">
        <v>231</v>
      </c>
      <c r="E2" s="212" t="s">
        <v>232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5.75">
      <c r="A3" s="209"/>
      <c r="B3" s="211" t="s">
        <v>221</v>
      </c>
      <c r="C3" s="213">
        <v>850000</v>
      </c>
      <c r="D3" s="213">
        <v>1125000</v>
      </c>
      <c r="E3" s="213">
        <v>850000</v>
      </c>
      <c r="G3" s="209"/>
      <c r="H3" s="209"/>
      <c r="I3" s="215" t="s">
        <v>222</v>
      </c>
      <c r="J3" s="209"/>
      <c r="K3" s="209"/>
      <c r="L3" s="209"/>
      <c r="M3" s="209"/>
      <c r="N3" s="209"/>
      <c r="O3" s="209"/>
    </row>
    <row r="4" spans="1:15" ht="15.75">
      <c r="A4" s="209"/>
      <c r="B4" s="211" t="s">
        <v>223</v>
      </c>
      <c r="C4" s="213">
        <v>175000</v>
      </c>
      <c r="D4" s="213">
        <v>240000</v>
      </c>
      <c r="E4" s="213">
        <v>110000</v>
      </c>
      <c r="G4" s="209"/>
      <c r="H4" s="209"/>
      <c r="I4" s="215" t="s">
        <v>224</v>
      </c>
      <c r="J4" s="209"/>
      <c r="K4" s="209"/>
      <c r="L4" s="209"/>
      <c r="M4" s="209"/>
      <c r="N4" s="209"/>
      <c r="O4" s="209"/>
    </row>
    <row r="5" spans="1:15" ht="15.75">
      <c r="A5" s="209"/>
      <c r="B5" s="211" t="s">
        <v>225</v>
      </c>
      <c r="C5" s="213">
        <v>1300000</v>
      </c>
      <c r="D5" s="213">
        <v>1400000</v>
      </c>
      <c r="E5" s="213">
        <v>625000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ht="15.75">
      <c r="A6" s="209"/>
      <c r="B6" s="211" t="s">
        <v>226</v>
      </c>
      <c r="C6" s="217">
        <f>C4/C3</f>
        <v>0.20588235294117646</v>
      </c>
      <c r="D6" s="218">
        <f>D4/D3</f>
        <v>0.21333333333333335</v>
      </c>
      <c r="E6" s="218">
        <f>E4/E3</f>
        <v>0.12941176470588237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15.75">
      <c r="A7" s="209"/>
      <c r="B7" s="211" t="s">
        <v>227</v>
      </c>
      <c r="C7" s="223">
        <f>C3/C5</f>
        <v>0.6538461538461539</v>
      </c>
      <c r="D7" s="219">
        <f>D3/D5</f>
        <v>0.8035714285714286</v>
      </c>
      <c r="E7" s="219">
        <f>E3/E5</f>
        <v>1.36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5" ht="15.75">
      <c r="A8" s="209"/>
      <c r="B8" s="211" t="s">
        <v>228</v>
      </c>
      <c r="C8" s="217">
        <f>C6*C7</f>
        <v>0.1346153846153846</v>
      </c>
      <c r="D8" s="220">
        <f>D6*D7</f>
        <v>0.17142857142857146</v>
      </c>
      <c r="E8" s="220">
        <f>E6*E7</f>
        <v>0.17600000000000002</v>
      </c>
      <c r="F8" s="209"/>
      <c r="G8" s="209" t="s">
        <v>233</v>
      </c>
      <c r="H8" s="221">
        <v>0.15</v>
      </c>
      <c r="I8" s="209"/>
      <c r="J8" s="209"/>
      <c r="K8" s="209"/>
      <c r="L8" s="209"/>
      <c r="M8" s="209"/>
      <c r="N8" s="209"/>
      <c r="O8" s="209"/>
    </row>
    <row r="9" spans="1:15" ht="15.75">
      <c r="A9" s="209"/>
      <c r="B9" s="209" t="s">
        <v>229</v>
      </c>
      <c r="C9" s="221">
        <f>C4/C5</f>
        <v>0.1346153846153846</v>
      </c>
      <c r="D9" s="222">
        <f>D4/D5</f>
        <v>0.17142857142857143</v>
      </c>
      <c r="E9" s="222">
        <f>E4/E5</f>
        <v>0.176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5.75">
      <c r="A10" s="209"/>
      <c r="B10" s="209"/>
      <c r="C10" s="209"/>
      <c r="D10" s="209"/>
      <c r="E10" s="209"/>
      <c r="F10" s="209"/>
      <c r="G10" s="213"/>
      <c r="H10" s="214"/>
      <c r="I10" s="214"/>
      <c r="J10" s="209"/>
      <c r="K10" s="209"/>
      <c r="L10" s="209"/>
      <c r="M10" s="209"/>
      <c r="N10" s="209"/>
      <c r="O10" s="209"/>
    </row>
    <row r="11" spans="8:15" ht="15.75">
      <c r="H11" s="214"/>
      <c r="I11" s="214"/>
      <c r="J11" s="209"/>
      <c r="K11" s="209"/>
      <c r="L11" s="209"/>
      <c r="M11" s="209"/>
      <c r="N11" s="209"/>
      <c r="O11" s="209"/>
    </row>
    <row r="12" spans="8:15" ht="15.75">
      <c r="H12" s="216"/>
      <c r="I12" s="216"/>
      <c r="J12" s="209"/>
      <c r="K12" s="209"/>
      <c r="L12" s="209"/>
      <c r="M12" s="209"/>
      <c r="N12" s="209"/>
      <c r="O12" s="209"/>
    </row>
    <row r="13" spans="8:15" ht="15.75">
      <c r="H13" s="209"/>
      <c r="I13" s="209"/>
      <c r="J13" s="209"/>
      <c r="K13" s="209"/>
      <c r="L13" s="209"/>
      <c r="M13" s="209"/>
      <c r="N13" s="209"/>
      <c r="O13" s="209"/>
    </row>
    <row r="14" spans="8:15" ht="15.75">
      <c r="H14" s="209"/>
      <c r="I14" s="209"/>
      <c r="J14" s="209"/>
      <c r="K14" s="209"/>
      <c r="L14" s="209"/>
      <c r="M14" s="209"/>
      <c r="N14" s="209"/>
      <c r="O14" s="209"/>
    </row>
    <row r="15" spans="8:15" ht="15.75">
      <c r="H15" s="209"/>
      <c r="I15" s="209"/>
      <c r="J15" s="209"/>
      <c r="K15" s="209"/>
      <c r="L15" s="209"/>
      <c r="M15" s="209"/>
      <c r="N15" s="209"/>
      <c r="O15" s="209"/>
    </row>
    <row r="16" spans="8:15" ht="15.75">
      <c r="H16" s="209"/>
      <c r="I16" s="209"/>
      <c r="J16" s="209"/>
      <c r="K16" s="209"/>
      <c r="L16" s="209"/>
      <c r="M16" s="209"/>
      <c r="N16" s="209"/>
      <c r="O16" s="209"/>
    </row>
    <row r="17" spans="8:15" ht="15.75">
      <c r="H17" s="209"/>
      <c r="I17" s="209"/>
      <c r="J17" s="209"/>
      <c r="K17" s="209"/>
      <c r="L17" s="209"/>
      <c r="M17" s="209"/>
      <c r="N17" s="209"/>
      <c r="O17" s="209"/>
    </row>
    <row r="18" spans="8:15" ht="15.75">
      <c r="H18" s="209"/>
      <c r="I18" s="209"/>
      <c r="J18" s="209"/>
      <c r="K18" s="209"/>
      <c r="L18" s="209"/>
      <c r="M18" s="209"/>
      <c r="N18" s="209"/>
      <c r="O18" s="209"/>
    </row>
    <row r="19" spans="8:15" ht="15.75">
      <c r="H19" s="209"/>
      <c r="I19" s="209"/>
      <c r="J19" s="209"/>
      <c r="K19" s="209"/>
      <c r="L19" s="209"/>
      <c r="M19" s="209"/>
      <c r="N19" s="209"/>
      <c r="O19" s="209"/>
    </row>
    <row r="20" spans="8:15" ht="15.75">
      <c r="H20" s="209"/>
      <c r="I20" s="209"/>
      <c r="J20" s="209"/>
      <c r="K20" s="209"/>
      <c r="L20" s="209"/>
      <c r="M20" s="209"/>
      <c r="N20" s="209"/>
      <c r="O20" s="209"/>
    </row>
    <row r="21" spans="8:15" ht="15.75">
      <c r="H21" s="209"/>
      <c r="I21" s="209"/>
      <c r="J21" s="209"/>
      <c r="K21" s="209"/>
      <c r="L21" s="209"/>
      <c r="M21" s="209"/>
      <c r="N21" s="209"/>
      <c r="O21" s="209"/>
    </row>
    <row r="22" spans="8:15" ht="15.75">
      <c r="H22" s="209"/>
      <c r="I22" s="209"/>
      <c r="J22" s="209"/>
      <c r="K22" s="209"/>
      <c r="L22" s="209"/>
      <c r="M22" s="209"/>
      <c r="N22" s="209"/>
      <c r="O22" s="20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8" sqref="D8"/>
    </sheetView>
  </sheetViews>
  <sheetFormatPr defaultColWidth="9.00390625" defaultRowHeight="15.75"/>
  <cols>
    <col min="2" max="2" width="13.875" style="0" customWidth="1"/>
    <col min="3" max="3" width="11.00390625" style="0" customWidth="1"/>
    <col min="4" max="4" width="11.375" style="0" bestFit="1" customWidth="1"/>
    <col min="6" max="6" width="5.125" style="0" customWidth="1"/>
    <col min="8" max="8" width="15.625" style="0" customWidth="1"/>
    <col min="9" max="9" width="10.75390625" style="0" customWidth="1"/>
    <col min="12" max="12" width="16.125" style="0" customWidth="1"/>
  </cols>
  <sheetData>
    <row r="2" spans="2:4" ht="15.75">
      <c r="B2" t="s">
        <v>3</v>
      </c>
      <c r="C2" s="19">
        <f>+C4/D4</f>
        <v>37499.99999999999</v>
      </c>
      <c r="D2" s="18">
        <v>1</v>
      </c>
    </row>
    <row r="3" spans="2:4" ht="15.75">
      <c r="B3" t="s">
        <v>5</v>
      </c>
      <c r="C3" s="20">
        <f>+C2-C4</f>
        <v>22499.999999999993</v>
      </c>
      <c r="D3" s="18">
        <f>+D2-D4</f>
        <v>0.6</v>
      </c>
    </row>
    <row r="4" spans="2:4" ht="15.75">
      <c r="B4" t="s">
        <v>241</v>
      </c>
      <c r="C4" s="19">
        <f>+C6/C5</f>
        <v>14999.999999999998</v>
      </c>
      <c r="D4" s="18">
        <v>0.4</v>
      </c>
    </row>
    <row r="5" spans="2:4" ht="15.75">
      <c r="B5" t="s">
        <v>242</v>
      </c>
      <c r="C5" s="18">
        <f>+C10</f>
        <v>0.6666666666666667</v>
      </c>
      <c r="D5" s="8"/>
    </row>
    <row r="6" spans="2:4" ht="15.75">
      <c r="B6" t="s">
        <v>4</v>
      </c>
      <c r="C6" s="19">
        <v>10000</v>
      </c>
      <c r="D6" s="8"/>
    </row>
    <row r="7" spans="3:4" ht="15.75">
      <c r="C7" s="8"/>
      <c r="D7" s="8"/>
    </row>
    <row r="8" spans="1:4" ht="15.75">
      <c r="A8" t="s">
        <v>40</v>
      </c>
      <c r="B8" t="s">
        <v>3</v>
      </c>
      <c r="C8" s="229">
        <v>1</v>
      </c>
      <c r="D8" s="8"/>
    </row>
    <row r="9" spans="2:4" ht="15.75">
      <c r="B9" t="s">
        <v>38</v>
      </c>
      <c r="C9" s="229">
        <f>0.333333333333333*100%</f>
        <v>0.3333333333333333</v>
      </c>
      <c r="D9" s="8"/>
    </row>
    <row r="10" spans="2:3" ht="15.75">
      <c r="B10" t="s">
        <v>39</v>
      </c>
      <c r="C10" s="230">
        <f>+C8-C9</f>
        <v>0.6666666666666667</v>
      </c>
    </row>
    <row r="11" ht="15.75">
      <c r="C11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I69" sqref="I69"/>
    </sheetView>
  </sheetViews>
  <sheetFormatPr defaultColWidth="9.00390625" defaultRowHeight="15.75"/>
  <cols>
    <col min="1" max="1" width="3.125" style="74" customWidth="1"/>
    <col min="2" max="2" width="3.50390625" style="74" customWidth="1"/>
    <col min="3" max="3" width="24.75390625" style="74" customWidth="1"/>
    <col min="4" max="4" width="11.625" style="74" customWidth="1"/>
    <col min="5" max="5" width="12.875" style="74" customWidth="1"/>
    <col min="6" max="6" width="6.25390625" style="74" customWidth="1"/>
    <col min="7" max="7" width="1.75390625" style="74" customWidth="1"/>
    <col min="8" max="8" width="1.875" style="74" customWidth="1"/>
    <col min="9" max="9" width="26.00390625" style="74" customWidth="1"/>
    <col min="10" max="10" width="13.00390625" style="74" bestFit="1" customWidth="1"/>
    <col min="11" max="11" width="13.375" style="74" customWidth="1"/>
    <col min="12" max="12" width="12.00390625" style="74" customWidth="1"/>
    <col min="13" max="16384" width="9.00390625" style="74" customWidth="1"/>
  </cols>
  <sheetData>
    <row r="1" ht="15.75">
      <c r="L1" s="75"/>
    </row>
    <row r="2" spans="2:12" ht="18.75">
      <c r="B2" s="76"/>
      <c r="G2" s="77"/>
      <c r="H2" s="78"/>
      <c r="I2" s="78"/>
      <c r="J2" s="78"/>
      <c r="K2" s="78"/>
      <c r="L2" s="78"/>
    </row>
    <row r="3" spans="1:12" ht="13.5" customHeight="1">
      <c r="A3" s="79"/>
      <c r="B3" s="79"/>
      <c r="C3" s="79"/>
      <c r="D3" s="80" t="s">
        <v>129</v>
      </c>
      <c r="E3" s="80" t="s">
        <v>130</v>
      </c>
      <c r="G3" s="271"/>
      <c r="H3" s="271"/>
      <c r="I3" s="77"/>
      <c r="J3" s="81"/>
      <c r="K3" s="81"/>
      <c r="L3" s="81"/>
    </row>
    <row r="4" spans="1:12" ht="13.5" customHeight="1">
      <c r="A4" s="79"/>
      <c r="B4" s="79"/>
      <c r="C4" s="79"/>
      <c r="D4" s="80" t="s">
        <v>69</v>
      </c>
      <c r="E4" s="80" t="s">
        <v>69</v>
      </c>
      <c r="G4" s="78"/>
      <c r="H4" s="78"/>
      <c r="I4" s="78"/>
      <c r="J4" s="78"/>
      <c r="K4" s="78"/>
      <c r="L4" s="78"/>
    </row>
    <row r="5" spans="1:12" ht="13.5" customHeight="1">
      <c r="A5" s="79"/>
      <c r="B5" s="79" t="s">
        <v>131</v>
      </c>
      <c r="C5" s="79"/>
      <c r="D5" s="79"/>
      <c r="E5" s="79"/>
      <c r="G5" s="78"/>
      <c r="H5" s="78"/>
      <c r="I5" s="78"/>
      <c r="J5" s="82"/>
      <c r="K5" s="82"/>
      <c r="L5" s="82"/>
    </row>
    <row r="6" spans="1:12" ht="13.5" customHeight="1">
      <c r="A6" s="79"/>
      <c r="B6" s="79"/>
      <c r="C6" s="79" t="s">
        <v>132</v>
      </c>
      <c r="D6" s="56">
        <v>7500</v>
      </c>
      <c r="E6" s="56">
        <f>+D6</f>
        <v>7500</v>
      </c>
      <c r="G6" s="78"/>
      <c r="H6" s="78"/>
      <c r="I6" s="78"/>
      <c r="J6" s="78"/>
      <c r="K6" s="78"/>
      <c r="L6" s="78"/>
    </row>
    <row r="7" spans="1:12" ht="13.5" customHeight="1">
      <c r="A7" s="79"/>
      <c r="B7" s="79"/>
      <c r="C7" s="79" t="s">
        <v>133</v>
      </c>
      <c r="D7" s="83">
        <v>1</v>
      </c>
      <c r="E7" s="83">
        <v>1</v>
      </c>
      <c r="G7" s="84"/>
      <c r="H7" s="78"/>
      <c r="I7" s="82"/>
      <c r="J7" s="78"/>
      <c r="K7" s="78"/>
      <c r="L7" s="78"/>
    </row>
    <row r="8" spans="1:12" ht="13.5" customHeight="1">
      <c r="A8" s="79"/>
      <c r="B8" s="79"/>
      <c r="C8" s="79"/>
      <c r="D8" s="79"/>
      <c r="E8" s="79"/>
      <c r="G8" s="78"/>
      <c r="H8" s="78"/>
      <c r="I8" s="85">
        <f>+E6*E16</f>
        <v>135000</v>
      </c>
      <c r="J8" s="82"/>
      <c r="K8" s="82"/>
      <c r="L8" s="82"/>
    </row>
    <row r="9" spans="1:12" ht="13.5" customHeight="1">
      <c r="A9" s="79"/>
      <c r="B9" s="79" t="s">
        <v>134</v>
      </c>
      <c r="C9" s="79"/>
      <c r="D9" s="83">
        <v>0.3</v>
      </c>
      <c r="E9" s="86">
        <v>0.27</v>
      </c>
      <c r="G9" s="78"/>
      <c r="H9" s="78"/>
      <c r="I9" s="82">
        <f>+D9-E9</f>
        <v>0.02999999999999997</v>
      </c>
      <c r="J9" s="82"/>
      <c r="K9" s="82"/>
      <c r="L9" s="82"/>
    </row>
    <row r="10" spans="1:12" ht="13.5" customHeight="1">
      <c r="A10" s="79"/>
      <c r="B10" s="79"/>
      <c r="C10" s="79"/>
      <c r="D10" s="79"/>
      <c r="E10" s="79"/>
      <c r="F10" s="87"/>
      <c r="G10" s="78"/>
      <c r="H10" s="78"/>
      <c r="I10" s="82">
        <f>+I9*I8</f>
        <v>4049.999999999996</v>
      </c>
      <c r="J10" s="82"/>
      <c r="K10" s="82"/>
      <c r="L10" s="82"/>
    </row>
    <row r="11" spans="1:12" ht="13.5" customHeight="1">
      <c r="A11" s="79"/>
      <c r="B11" s="79" t="s">
        <v>135</v>
      </c>
      <c r="C11" s="79"/>
      <c r="D11" s="79"/>
      <c r="E11" s="79"/>
      <c r="G11" s="78"/>
      <c r="H11" s="78"/>
      <c r="I11" s="82"/>
      <c r="J11" s="78"/>
      <c r="K11" s="78"/>
      <c r="L11" s="78"/>
    </row>
    <row r="12" spans="1:12" ht="13.5" customHeight="1">
      <c r="A12" s="79"/>
      <c r="B12" s="79"/>
      <c r="C12" s="79" t="s">
        <v>136</v>
      </c>
      <c r="D12" s="83">
        <v>0.3</v>
      </c>
      <c r="E12" s="83">
        <v>0.3</v>
      </c>
      <c r="G12" s="84"/>
      <c r="H12" s="78"/>
      <c r="I12" s="82">
        <f>+E18-D18</f>
        <v>25</v>
      </c>
      <c r="J12" s="78"/>
      <c r="K12" s="82">
        <f>+I10</f>
        <v>4049.999999999996</v>
      </c>
      <c r="L12" s="78"/>
    </row>
    <row r="13" spans="1:12" ht="13.5" customHeight="1">
      <c r="A13" s="79"/>
      <c r="B13" s="79"/>
      <c r="C13" s="79"/>
      <c r="D13" s="79"/>
      <c r="E13" s="79"/>
      <c r="G13" s="78"/>
      <c r="H13" s="78"/>
      <c r="I13" s="88">
        <f>+E16</f>
        <v>18</v>
      </c>
      <c r="J13" s="78"/>
      <c r="K13" s="82">
        <f>+I18</f>
        <v>2650</v>
      </c>
      <c r="L13" s="78"/>
    </row>
    <row r="14" spans="1:12" ht="13.5" customHeight="1">
      <c r="A14" s="79"/>
      <c r="B14" s="79" t="s">
        <v>137</v>
      </c>
      <c r="C14" s="79"/>
      <c r="D14" s="79"/>
      <c r="E14" s="79"/>
      <c r="G14" s="78"/>
      <c r="H14" s="78"/>
      <c r="I14" s="89">
        <f>+I13*I12</f>
        <v>450</v>
      </c>
      <c r="J14" s="78"/>
      <c r="K14" s="82">
        <f>+E15-E17</f>
        <v>4500</v>
      </c>
      <c r="L14" s="82"/>
    </row>
    <row r="15" spans="1:12" ht="13.5" customHeight="1">
      <c r="A15" s="79"/>
      <c r="B15" s="79"/>
      <c r="C15" s="79" t="s">
        <v>138</v>
      </c>
      <c r="D15" s="90">
        <v>6000</v>
      </c>
      <c r="E15" s="91">
        <f>E47</f>
        <v>4800</v>
      </c>
      <c r="F15" s="92"/>
      <c r="G15" s="78"/>
      <c r="H15" s="78"/>
      <c r="I15" s="78"/>
      <c r="J15" s="78"/>
      <c r="K15" s="82">
        <f>+K12-K13-K14</f>
        <v>-3100.000000000004</v>
      </c>
      <c r="L15" s="82"/>
    </row>
    <row r="16" spans="1:12" ht="13.5" customHeight="1">
      <c r="A16" s="79"/>
      <c r="B16" s="79"/>
      <c r="C16" s="79" t="s">
        <v>139</v>
      </c>
      <c r="D16" s="56">
        <v>24</v>
      </c>
      <c r="E16" s="56">
        <f>E48</f>
        <v>18</v>
      </c>
      <c r="G16" s="78"/>
      <c r="H16" s="78"/>
      <c r="I16" s="89">
        <f>+D15-6*D18</f>
        <v>4650</v>
      </c>
      <c r="J16" s="82"/>
      <c r="K16" s="82"/>
      <c r="L16" s="82"/>
    </row>
    <row r="17" spans="1:12" ht="13.5" customHeight="1">
      <c r="A17" s="79"/>
      <c r="B17" s="79"/>
      <c r="C17" s="79" t="s">
        <v>140</v>
      </c>
      <c r="D17" s="90">
        <v>600</v>
      </c>
      <c r="E17" s="91">
        <v>300</v>
      </c>
      <c r="G17" s="78"/>
      <c r="H17" s="78"/>
      <c r="I17" s="93">
        <f>+D30</f>
        <v>2000</v>
      </c>
      <c r="J17" s="82"/>
      <c r="K17" s="82"/>
      <c r="L17" s="82"/>
    </row>
    <row r="18" spans="1:12" ht="13.5" customHeight="1">
      <c r="A18" s="79"/>
      <c r="B18" s="79"/>
      <c r="C18" s="79" t="s">
        <v>141</v>
      </c>
      <c r="D18" s="90">
        <f>+(D15-D17)/D16</f>
        <v>225</v>
      </c>
      <c r="E18" s="90">
        <f>+(E15-E17)/E16</f>
        <v>250</v>
      </c>
      <c r="G18" s="78"/>
      <c r="H18" s="78"/>
      <c r="I18" s="82">
        <f>+I16-I17</f>
        <v>2650</v>
      </c>
      <c r="J18" s="89"/>
      <c r="K18" s="89"/>
      <c r="L18" s="82"/>
    </row>
    <row r="19" spans="1:12" ht="13.5" customHeight="1">
      <c r="A19" s="79"/>
      <c r="B19" s="79"/>
      <c r="C19" s="79"/>
      <c r="D19" s="79"/>
      <c r="E19" s="79"/>
      <c r="G19" s="78"/>
      <c r="H19" s="78"/>
      <c r="I19" s="82"/>
      <c r="J19" s="89"/>
      <c r="K19" s="89"/>
      <c r="L19" s="82"/>
    </row>
    <row r="20" spans="1:12" ht="13.5" customHeight="1">
      <c r="A20" s="79"/>
      <c r="B20" s="79" t="s">
        <v>142</v>
      </c>
      <c r="C20" s="79"/>
      <c r="D20" s="79"/>
      <c r="E20" s="79"/>
      <c r="G20" s="78"/>
      <c r="H20" s="78"/>
      <c r="I20" s="199">
        <f>+I10-I14-I18</f>
        <v>949.9999999999959</v>
      </c>
      <c r="J20" s="78"/>
      <c r="K20" s="78"/>
      <c r="L20" s="78"/>
    </row>
    <row r="21" spans="1:12" ht="13.5" customHeight="1">
      <c r="A21" s="79"/>
      <c r="B21" s="79"/>
      <c r="C21" s="79" t="s">
        <v>143</v>
      </c>
      <c r="D21" s="90">
        <v>750</v>
      </c>
      <c r="E21" s="90">
        <f>+D21</f>
        <v>750</v>
      </c>
      <c r="G21" s="78"/>
      <c r="H21" s="78"/>
      <c r="I21" s="82"/>
      <c r="J21" s="82"/>
      <c r="K21" s="82"/>
      <c r="L21" s="82"/>
    </row>
    <row r="22" spans="1:12" ht="13.5" customHeight="1">
      <c r="A22" s="79"/>
      <c r="B22" s="79"/>
      <c r="C22" s="79" t="s">
        <v>144</v>
      </c>
      <c r="D22" s="83">
        <v>0.05</v>
      </c>
      <c r="E22" s="83">
        <v>0.05</v>
      </c>
      <c r="G22" s="78"/>
      <c r="H22" s="78"/>
      <c r="I22" s="78"/>
      <c r="J22" s="78"/>
      <c r="K22" s="78"/>
      <c r="L22" s="78"/>
    </row>
    <row r="23" spans="1:12" ht="13.5" customHeight="1">
      <c r="A23" s="79"/>
      <c r="B23" s="79"/>
      <c r="C23" s="79"/>
      <c r="D23" s="79"/>
      <c r="E23" s="79"/>
      <c r="G23" s="78"/>
      <c r="H23" s="78"/>
      <c r="I23" s="78"/>
      <c r="J23" s="89"/>
      <c r="K23" s="89"/>
      <c r="L23" s="94"/>
    </row>
    <row r="24" spans="1:12" ht="13.5" customHeight="1">
      <c r="A24" s="79"/>
      <c r="B24" s="79" t="s">
        <v>145</v>
      </c>
      <c r="C24" s="79"/>
      <c r="D24" s="79"/>
      <c r="E24" s="79"/>
      <c r="G24" s="78"/>
      <c r="H24" s="78"/>
      <c r="I24" s="78"/>
      <c r="J24" s="78"/>
      <c r="K24" s="78"/>
      <c r="L24" s="78"/>
    </row>
    <row r="25" spans="1:12" ht="13.5" customHeight="1">
      <c r="A25" s="79"/>
      <c r="B25" s="79"/>
      <c r="C25" s="79" t="s">
        <v>146</v>
      </c>
      <c r="D25" s="90">
        <v>200</v>
      </c>
      <c r="E25" s="90">
        <f>+D25</f>
        <v>200</v>
      </c>
      <c r="G25" s="78"/>
      <c r="H25" s="78"/>
      <c r="I25" s="78"/>
      <c r="J25" s="78"/>
      <c r="K25" s="78"/>
      <c r="L25" s="78"/>
    </row>
    <row r="26" spans="1:7" ht="13.5" customHeight="1">
      <c r="A26" s="79"/>
      <c r="B26" s="79"/>
      <c r="C26" s="79" t="s">
        <v>147</v>
      </c>
      <c r="D26" s="91">
        <v>800</v>
      </c>
      <c r="E26" s="91">
        <f>+D26</f>
        <v>800</v>
      </c>
      <c r="G26" s="76" t="s">
        <v>148</v>
      </c>
    </row>
    <row r="27" spans="1:5" ht="13.5" customHeight="1">
      <c r="A27" s="79"/>
      <c r="B27" s="79"/>
      <c r="C27" s="79" t="s">
        <v>149</v>
      </c>
      <c r="D27" s="95">
        <v>50</v>
      </c>
      <c r="E27" s="95">
        <v>50</v>
      </c>
    </row>
    <row r="28" spans="1:12" ht="13.5" customHeight="1">
      <c r="A28" s="79"/>
      <c r="B28" s="79"/>
      <c r="C28" s="79" t="s">
        <v>150</v>
      </c>
      <c r="D28" s="91">
        <f>SUM(D25:D27)</f>
        <v>1050</v>
      </c>
      <c r="E28" s="91">
        <f>SUM(E25:E27)</f>
        <v>1050</v>
      </c>
      <c r="H28" s="96" t="s">
        <v>151</v>
      </c>
      <c r="I28" s="96"/>
      <c r="L28" s="97">
        <f>+(D9-E9)*E6*E16</f>
        <v>4049.999999999996</v>
      </c>
    </row>
    <row r="29" spans="1:12" ht="13.5" customHeight="1">
      <c r="A29" s="79"/>
      <c r="B29" s="79"/>
      <c r="C29" s="79"/>
      <c r="D29" s="79"/>
      <c r="E29" s="79"/>
      <c r="H29" s="96" t="s">
        <v>152</v>
      </c>
      <c r="I29" s="96"/>
      <c r="L29" s="97">
        <f>-E15</f>
        <v>-4800</v>
      </c>
    </row>
    <row r="30" spans="1:12" ht="13.5" customHeight="1">
      <c r="A30" s="79"/>
      <c r="B30" s="98" t="s">
        <v>153</v>
      </c>
      <c r="C30" s="98"/>
      <c r="D30" s="99">
        <v>2000</v>
      </c>
      <c r="E30" s="86"/>
      <c r="H30" s="96" t="s">
        <v>154</v>
      </c>
      <c r="I30" s="96"/>
      <c r="L30" s="97">
        <f>+E17</f>
        <v>300</v>
      </c>
    </row>
    <row r="31" spans="5:12" ht="13.5" customHeight="1">
      <c r="E31" s="100"/>
      <c r="H31" s="101" t="s">
        <v>155</v>
      </c>
      <c r="I31" s="96"/>
      <c r="L31" s="102">
        <f>+(D30-D17)</f>
        <v>1400</v>
      </c>
    </row>
    <row r="32" spans="2:12" ht="13.5" customHeight="1">
      <c r="B32" s="103"/>
      <c r="C32" s="103"/>
      <c r="D32" s="104"/>
      <c r="E32" s="103"/>
      <c r="H32" s="96" t="s">
        <v>156</v>
      </c>
      <c r="I32" s="96"/>
      <c r="L32" s="105">
        <f>SUM(L28:L31)</f>
        <v>949.9999999999959</v>
      </c>
    </row>
    <row r="33" ht="15.75" hidden="1">
      <c r="L33" s="75" t="s">
        <v>128</v>
      </c>
    </row>
    <row r="34" spans="2:12" ht="18.75" hidden="1">
      <c r="B34" s="76" t="s">
        <v>157</v>
      </c>
      <c r="G34" s="77"/>
      <c r="H34" s="78"/>
      <c r="I34" s="78"/>
      <c r="J34" s="78"/>
      <c r="K34" s="78"/>
      <c r="L34" s="78"/>
    </row>
    <row r="35" spans="4:12" ht="18.75" hidden="1">
      <c r="D35" s="106" t="s">
        <v>158</v>
      </c>
      <c r="E35" s="106" t="s">
        <v>159</v>
      </c>
      <c r="G35" s="271"/>
      <c r="H35" s="271"/>
      <c r="I35" s="77"/>
      <c r="J35" s="81"/>
      <c r="K35" s="81"/>
      <c r="L35" s="81"/>
    </row>
    <row r="36" spans="5:12" ht="15.75" hidden="1">
      <c r="E36" s="106" t="s">
        <v>160</v>
      </c>
      <c r="G36" s="78"/>
      <c r="H36" s="78"/>
      <c r="I36" s="78"/>
      <c r="J36" s="78"/>
      <c r="K36" s="78"/>
      <c r="L36" s="78"/>
    </row>
    <row r="37" spans="2:12" ht="15.75" hidden="1">
      <c r="B37" s="74" t="s">
        <v>131</v>
      </c>
      <c r="G37" s="78"/>
      <c r="H37" s="78"/>
      <c r="I37" s="78"/>
      <c r="J37" s="82"/>
      <c r="K37" s="82"/>
      <c r="L37" s="82"/>
    </row>
    <row r="38" spans="3:12" ht="15.75" hidden="1">
      <c r="C38" s="74" t="s">
        <v>161</v>
      </c>
      <c r="D38" s="107">
        <f>+'[1]General - Alt I-IV'!G35</f>
        <v>9000</v>
      </c>
      <c r="E38" s="107">
        <f>+D38</f>
        <v>9000</v>
      </c>
      <c r="G38" s="78"/>
      <c r="H38" s="78"/>
      <c r="I38" s="78"/>
      <c r="J38" s="78"/>
      <c r="K38" s="78"/>
      <c r="L38" s="78"/>
    </row>
    <row r="39" spans="3:12" ht="15.75" hidden="1">
      <c r="C39" s="74" t="s">
        <v>133</v>
      </c>
      <c r="D39" s="87">
        <f>+'[1]General - Alt I-IV'!G36</f>
        <v>1</v>
      </c>
      <c r="E39" s="87">
        <f>+D39</f>
        <v>1</v>
      </c>
      <c r="G39" s="84"/>
      <c r="H39" s="78"/>
      <c r="I39" s="82"/>
      <c r="J39" s="78"/>
      <c r="K39" s="78"/>
      <c r="L39" s="78"/>
    </row>
    <row r="40" spans="7:12" ht="15.75" hidden="1">
      <c r="G40" s="78"/>
      <c r="H40" s="78"/>
      <c r="I40" s="82"/>
      <c r="J40" s="82"/>
      <c r="K40" s="82"/>
      <c r="L40" s="82"/>
    </row>
    <row r="41" spans="2:12" ht="15.75" hidden="1">
      <c r="B41" s="74" t="s">
        <v>134</v>
      </c>
      <c r="D41" s="87">
        <f>+'[1]General - Alt I-IV'!G38</f>
        <v>0.3</v>
      </c>
      <c r="E41" s="108">
        <f>+D41*0.9</f>
        <v>0.27</v>
      </c>
      <c r="G41" s="78"/>
      <c r="H41" s="78"/>
      <c r="I41" s="82"/>
      <c r="J41" s="82"/>
      <c r="K41" s="82"/>
      <c r="L41" s="82"/>
    </row>
    <row r="42" spans="6:12" ht="15.75" hidden="1">
      <c r="F42" s="87"/>
      <c r="G42" s="78"/>
      <c r="H42" s="78"/>
      <c r="I42" s="82"/>
      <c r="J42" s="82"/>
      <c r="K42" s="82"/>
      <c r="L42" s="82"/>
    </row>
    <row r="43" spans="2:12" ht="15.75" hidden="1">
      <c r="B43" s="74" t="s">
        <v>135</v>
      </c>
      <c r="G43" s="78"/>
      <c r="H43" s="78"/>
      <c r="I43" s="82"/>
      <c r="J43" s="78"/>
      <c r="K43" s="78"/>
      <c r="L43" s="78"/>
    </row>
    <row r="44" spans="3:12" ht="15.75" hidden="1">
      <c r="C44" s="74" t="s">
        <v>136</v>
      </c>
      <c r="D44" s="87">
        <f>+'[1]General - Alt I-IV'!G41</f>
        <v>0.3</v>
      </c>
      <c r="E44" s="87">
        <f>+D44</f>
        <v>0.3</v>
      </c>
      <c r="G44" s="84"/>
      <c r="H44" s="78"/>
      <c r="I44" s="78"/>
      <c r="J44" s="78"/>
      <c r="K44" s="78"/>
      <c r="L44" s="78"/>
    </row>
    <row r="45" spans="7:12" ht="15.75" hidden="1">
      <c r="G45" s="78"/>
      <c r="H45" s="78"/>
      <c r="I45" s="82"/>
      <c r="J45" s="78"/>
      <c r="K45" s="78"/>
      <c r="L45" s="78"/>
    </row>
    <row r="46" spans="2:12" ht="15.75" hidden="1">
      <c r="B46" s="74" t="s">
        <v>162</v>
      </c>
      <c r="G46" s="78"/>
      <c r="H46" s="78"/>
      <c r="I46" s="78"/>
      <c r="J46" s="78"/>
      <c r="K46" s="82"/>
      <c r="L46" s="82"/>
    </row>
    <row r="47" spans="3:12" ht="15.75" hidden="1">
      <c r="C47" s="74" t="s">
        <v>138</v>
      </c>
      <c r="D47" s="87">
        <f>+'[1]General - Alt I-IV'!G44</f>
        <v>6000</v>
      </c>
      <c r="E47" s="108">
        <v>4800</v>
      </c>
      <c r="F47" s="92"/>
      <c r="G47" s="78"/>
      <c r="H47" s="78"/>
      <c r="I47" s="78"/>
      <c r="J47" s="78"/>
      <c r="K47" s="82"/>
      <c r="L47" s="82"/>
    </row>
    <row r="48" spans="3:12" ht="15.75" hidden="1">
      <c r="C48" s="74" t="s">
        <v>139</v>
      </c>
      <c r="D48" s="10">
        <f>+'[1]General - Alt I-IV'!G45</f>
        <v>24</v>
      </c>
      <c r="E48" s="109">
        <f>+D48-6</f>
        <v>18</v>
      </c>
      <c r="G48" s="78"/>
      <c r="H48" s="78"/>
      <c r="I48" s="78"/>
      <c r="J48" s="82"/>
      <c r="K48" s="82"/>
      <c r="L48" s="82"/>
    </row>
    <row r="49" spans="3:12" ht="15.75" hidden="1">
      <c r="C49" s="74" t="s">
        <v>140</v>
      </c>
      <c r="D49" s="87">
        <f>+'[1]General - Alt I-IV'!G46</f>
        <v>600</v>
      </c>
      <c r="E49" s="108">
        <v>300</v>
      </c>
      <c r="G49" s="78"/>
      <c r="H49" s="78"/>
      <c r="I49" s="84"/>
      <c r="J49" s="82"/>
      <c r="K49" s="82"/>
      <c r="L49" s="82"/>
    </row>
    <row r="50" spans="3:12" ht="15.75" hidden="1">
      <c r="C50" s="74" t="s">
        <v>141</v>
      </c>
      <c r="D50" s="87">
        <f>+'[1]General - Alt I-IV'!G47</f>
        <v>225</v>
      </c>
      <c r="E50" s="110">
        <f>+(E47-E49)/E48</f>
        <v>250</v>
      </c>
      <c r="G50" s="78"/>
      <c r="H50" s="78"/>
      <c r="I50" s="82"/>
      <c r="J50" s="89"/>
      <c r="K50" s="89"/>
      <c r="L50" s="82"/>
    </row>
    <row r="51" spans="7:12" ht="15.75" hidden="1">
      <c r="G51" s="78"/>
      <c r="H51" s="78"/>
      <c r="I51" s="82"/>
      <c r="J51" s="89"/>
      <c r="K51" s="89"/>
      <c r="L51" s="82"/>
    </row>
    <row r="52" spans="2:12" ht="15.75" hidden="1">
      <c r="B52" s="74" t="s">
        <v>142</v>
      </c>
      <c r="G52" s="78"/>
      <c r="H52" s="78"/>
      <c r="I52" s="82"/>
      <c r="J52" s="78"/>
      <c r="K52" s="78"/>
      <c r="L52" s="78"/>
    </row>
    <row r="53" spans="3:12" ht="15.75" hidden="1">
      <c r="C53" s="74" t="s">
        <v>143</v>
      </c>
      <c r="D53" s="87">
        <f>+'[1]General - Alt I-IV'!G50</f>
        <v>562.5</v>
      </c>
      <c r="E53" s="87">
        <f>+D53</f>
        <v>562.5</v>
      </c>
      <c r="G53" s="78"/>
      <c r="H53" s="78"/>
      <c r="I53" s="82"/>
      <c r="J53" s="82"/>
      <c r="K53" s="82"/>
      <c r="L53" s="82"/>
    </row>
    <row r="54" spans="3:12" ht="15.75" hidden="1">
      <c r="C54" s="74" t="s">
        <v>144</v>
      </c>
      <c r="D54" s="87">
        <f>+'[1]General - Alt I-IV'!G51</f>
        <v>0.05</v>
      </c>
      <c r="E54" s="87">
        <f>+D54</f>
        <v>0.05</v>
      </c>
      <c r="G54" s="78"/>
      <c r="H54" s="78"/>
      <c r="I54" s="78"/>
      <c r="J54" s="78"/>
      <c r="K54" s="78"/>
      <c r="L54" s="78"/>
    </row>
    <row r="55" spans="7:12" ht="15.75" hidden="1">
      <c r="G55" s="78"/>
      <c r="H55" s="78"/>
      <c r="I55" s="78"/>
      <c r="J55" s="89"/>
      <c r="K55" s="89"/>
      <c r="L55" s="94"/>
    </row>
    <row r="56" spans="2:12" ht="15.75" hidden="1">
      <c r="B56" s="74" t="s">
        <v>145</v>
      </c>
      <c r="G56" s="78"/>
      <c r="H56" s="78"/>
      <c r="I56" s="78"/>
      <c r="J56" s="78"/>
      <c r="K56" s="78"/>
      <c r="L56" s="78"/>
    </row>
    <row r="57" spans="3:12" ht="15.75" hidden="1">
      <c r="C57" s="74" t="s">
        <v>146</v>
      </c>
      <c r="D57" s="87">
        <f>+'[1]General - Alt I-IV'!G54</f>
        <v>125</v>
      </c>
      <c r="E57" s="87">
        <f>+D57</f>
        <v>125</v>
      </c>
      <c r="G57" s="78"/>
      <c r="H57" s="78"/>
      <c r="I57" s="78"/>
      <c r="J57" s="78"/>
      <c r="K57" s="78"/>
      <c r="L57" s="78"/>
    </row>
    <row r="58" spans="3:7" ht="18.75" hidden="1">
      <c r="C58" s="74" t="s">
        <v>147</v>
      </c>
      <c r="D58" s="111">
        <f>+'[1]General - Alt I-IV'!G55</f>
        <v>950</v>
      </c>
      <c r="E58" s="111">
        <f>+D58</f>
        <v>950</v>
      </c>
      <c r="G58" s="76" t="s">
        <v>148</v>
      </c>
    </row>
    <row r="59" spans="3:5" ht="15.75" hidden="1">
      <c r="C59" s="74" t="s">
        <v>149</v>
      </c>
      <c r="D59" s="112">
        <f>+'[1]General - Alt I-IV'!G56</f>
        <v>50</v>
      </c>
      <c r="E59" s="112">
        <f>+D59</f>
        <v>50</v>
      </c>
    </row>
    <row r="60" spans="3:12" ht="15.75" hidden="1">
      <c r="C60" s="74" t="s">
        <v>150</v>
      </c>
      <c r="D60" s="100">
        <f>SUM(D57:D59)</f>
        <v>1125</v>
      </c>
      <c r="E60" s="100">
        <f>SUM(E57:E59)</f>
        <v>1125</v>
      </c>
      <c r="H60" s="96" t="s">
        <v>151</v>
      </c>
      <c r="I60" s="96"/>
      <c r="L60" s="97">
        <f>+(D41-E41)*E48*E38</f>
        <v>4859.999999999995</v>
      </c>
    </row>
    <row r="61" spans="8:12" ht="15.75" hidden="1">
      <c r="H61" s="96" t="s">
        <v>152</v>
      </c>
      <c r="I61" s="96"/>
      <c r="L61" s="97">
        <f>-E47</f>
        <v>-4800</v>
      </c>
    </row>
    <row r="62" spans="2:12" ht="15.75" hidden="1">
      <c r="B62" s="96" t="s">
        <v>163</v>
      </c>
      <c r="C62" s="96"/>
      <c r="D62" s="110">
        <f>+D47-6*D50</f>
        <v>4650</v>
      </c>
      <c r="H62" s="96" t="s">
        <v>154</v>
      </c>
      <c r="I62" s="96"/>
      <c r="L62" s="97">
        <f>+E49</f>
        <v>300</v>
      </c>
    </row>
    <row r="63" spans="2:12" ht="15.75" hidden="1">
      <c r="B63" s="96" t="s">
        <v>164</v>
      </c>
      <c r="C63" s="96"/>
      <c r="D63" s="113">
        <v>1950</v>
      </c>
      <c r="H63" s="101" t="s">
        <v>155</v>
      </c>
      <c r="I63" s="96"/>
      <c r="L63" s="102">
        <f>+D63-D49</f>
        <v>1350</v>
      </c>
    </row>
    <row r="64" spans="2:12" ht="15.75" hidden="1">
      <c r="B64" s="96" t="s">
        <v>165</v>
      </c>
      <c r="C64" s="96"/>
      <c r="E64" s="108">
        <f>+D63-D62</f>
        <v>-2700</v>
      </c>
      <c r="H64" s="96" t="s">
        <v>156</v>
      </c>
      <c r="I64" s="96"/>
      <c r="L64" s="97">
        <f>SUM(L60:L63)</f>
        <v>1709.9999999999955</v>
      </c>
    </row>
  </sheetData>
  <sheetProtection/>
  <mergeCells count="2">
    <mergeCell ref="G3:H3"/>
    <mergeCell ref="G35:H35"/>
  </mergeCells>
  <printOptions/>
  <pageMargins left="0.46" right="0.5" top="0.66" bottom="0.6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zoomScalePageLayoutView="0" workbookViewId="0" topLeftCell="A1">
      <selection activeCell="D35" sqref="D35"/>
    </sheetView>
  </sheetViews>
  <sheetFormatPr defaultColWidth="8.625" defaultRowHeight="15.75"/>
  <cols>
    <col min="1" max="1" width="5.50390625" style="49" customWidth="1"/>
    <col min="2" max="2" width="19.375" style="49" customWidth="1"/>
    <col min="3" max="3" width="10.375" style="49" bestFit="1" customWidth="1"/>
    <col min="4" max="4" width="11.375" style="49" bestFit="1" customWidth="1"/>
    <col min="5" max="5" width="10.375" style="49" bestFit="1" customWidth="1"/>
    <col min="6" max="6" width="13.00390625" style="49" customWidth="1"/>
    <col min="7" max="7" width="13.25390625" style="49" customWidth="1"/>
    <col min="8" max="8" width="8.625" style="49" customWidth="1"/>
    <col min="9" max="9" width="11.375" style="49" bestFit="1" customWidth="1"/>
    <col min="10" max="16384" width="8.625" style="49" customWidth="1"/>
  </cols>
  <sheetData>
    <row r="2" spans="3:6" ht="15.75">
      <c r="C2" s="50" t="s">
        <v>8</v>
      </c>
      <c r="D2" s="49" t="s">
        <v>9</v>
      </c>
      <c r="E2" s="51"/>
      <c r="F2" s="49" t="s">
        <v>10</v>
      </c>
    </row>
    <row r="3" spans="3:8" ht="15.75">
      <c r="C3" s="50" t="s">
        <v>11</v>
      </c>
      <c r="D3" s="49">
        <v>1</v>
      </c>
      <c r="E3" s="52" t="s">
        <v>108</v>
      </c>
      <c r="F3" s="114">
        <v>5000</v>
      </c>
      <c r="G3" s="202" t="s">
        <v>206</v>
      </c>
      <c r="H3" s="49" t="s">
        <v>111</v>
      </c>
    </row>
    <row r="4" spans="3:9" ht="15.75">
      <c r="C4" s="53" t="s">
        <v>1</v>
      </c>
      <c r="D4" s="54" t="s">
        <v>12</v>
      </c>
      <c r="E4" s="50" t="s">
        <v>13</v>
      </c>
      <c r="F4" s="54" t="s">
        <v>12</v>
      </c>
      <c r="G4" s="54" t="s">
        <v>13</v>
      </c>
      <c r="I4" s="55"/>
    </row>
    <row r="5" spans="3:6" ht="15.75">
      <c r="C5" s="51"/>
      <c r="D5" s="54"/>
      <c r="E5" s="50"/>
      <c r="F5" s="54"/>
    </row>
    <row r="6" spans="2:6" ht="15.75">
      <c r="B6" s="49" t="s">
        <v>6</v>
      </c>
      <c r="C6" s="11">
        <v>20</v>
      </c>
      <c r="D6" s="4">
        <f>+C6</f>
        <v>20</v>
      </c>
      <c r="E6" s="11"/>
      <c r="F6" s="55">
        <f>+D6*F3</f>
        <v>100000</v>
      </c>
    </row>
    <row r="7" spans="2:6" ht="15.75">
      <c r="B7" s="49" t="s">
        <v>63</v>
      </c>
      <c r="C7" s="11">
        <v>13.75</v>
      </c>
      <c r="D7" s="4">
        <f>+C7</f>
        <v>13.75</v>
      </c>
      <c r="E7" s="11"/>
      <c r="F7" s="55">
        <f>+D7*F3</f>
        <v>68750</v>
      </c>
    </row>
    <row r="8" spans="2:6" ht="15.75">
      <c r="B8" s="49" t="s">
        <v>14</v>
      </c>
      <c r="C8" s="11">
        <v>17.5</v>
      </c>
      <c r="D8" s="4">
        <f>+C8</f>
        <v>17.5</v>
      </c>
      <c r="E8" s="11"/>
      <c r="F8" s="55">
        <f>+D8*F3</f>
        <v>87500</v>
      </c>
    </row>
    <row r="9" spans="2:6" ht="15.75">
      <c r="B9" s="49" t="s">
        <v>112</v>
      </c>
      <c r="C9" s="11">
        <v>15</v>
      </c>
      <c r="D9" s="4">
        <f>+C9*0.4</f>
        <v>6</v>
      </c>
      <c r="E9" s="11"/>
      <c r="F9" s="55">
        <f>+D9*F3</f>
        <v>30000</v>
      </c>
    </row>
    <row r="10" spans="2:6" ht="15.75">
      <c r="B10" s="49" t="s">
        <v>113</v>
      </c>
      <c r="C10" s="11">
        <v>12</v>
      </c>
      <c r="D10" s="4">
        <f>+C10*0.25</f>
        <v>3</v>
      </c>
      <c r="E10" s="11"/>
      <c r="F10" s="55">
        <f>+D10*F3</f>
        <v>15000</v>
      </c>
    </row>
    <row r="11" spans="2:6" ht="15.75">
      <c r="B11" s="49" t="s">
        <v>19</v>
      </c>
      <c r="C11" s="11"/>
      <c r="D11" s="4">
        <f>+F11/F3</f>
        <v>4</v>
      </c>
      <c r="E11" s="11"/>
      <c r="F11" s="3">
        <v>20000</v>
      </c>
    </row>
    <row r="12" spans="2:7" ht="15.75">
      <c r="B12" s="49" t="s">
        <v>15</v>
      </c>
      <c r="C12" s="12"/>
      <c r="D12" s="6"/>
      <c r="E12" s="12">
        <v>65</v>
      </c>
      <c r="F12" s="6"/>
      <c r="G12" s="5">
        <f>+E12*F3</f>
        <v>325000</v>
      </c>
    </row>
    <row r="13" spans="2:7" ht="15.75">
      <c r="B13" s="49" t="s">
        <v>2</v>
      </c>
      <c r="C13" s="11">
        <f>SUM(C6:C12)</f>
        <v>78.25</v>
      </c>
      <c r="D13" s="7">
        <f>SUM(D6:D12)</f>
        <v>64.25</v>
      </c>
      <c r="E13" s="11">
        <f>SUM(E6:E12)</f>
        <v>65</v>
      </c>
      <c r="F13" s="3">
        <f>SUM(F6:F12)</f>
        <v>321250</v>
      </c>
      <c r="G13" s="3">
        <f>SUM(G6:G12)</f>
        <v>325000</v>
      </c>
    </row>
    <row r="14" spans="2:7" ht="15.75">
      <c r="B14" s="49" t="s">
        <v>16</v>
      </c>
      <c r="G14" s="201">
        <f>+F13-G13</f>
        <v>-3750</v>
      </c>
    </row>
    <row r="15" spans="3:5" ht="15.75">
      <c r="C15" s="4"/>
      <c r="D15" s="4"/>
      <c r="E15" s="4"/>
    </row>
    <row r="16" spans="2:5" ht="15.75">
      <c r="B16" s="49" t="s">
        <v>17</v>
      </c>
      <c r="C16" s="4"/>
      <c r="D16" s="7">
        <f>+D6+D7+D8+D9+D10</f>
        <v>60.25</v>
      </c>
      <c r="E16" s="4"/>
    </row>
    <row r="18" ht="15.75">
      <c r="B18" s="49" t="s">
        <v>18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E32" sqref="E32"/>
    </sheetView>
  </sheetViews>
  <sheetFormatPr defaultColWidth="9.00390625" defaultRowHeight="15.75"/>
  <cols>
    <col min="1" max="4" width="9.00390625" style="74" customWidth="1"/>
    <col min="5" max="5" width="10.375" style="74" bestFit="1" customWidth="1"/>
    <col min="6" max="6" width="9.00390625" style="74" customWidth="1"/>
    <col min="7" max="7" width="13.625" style="74" customWidth="1"/>
    <col min="8" max="8" width="11.75390625" style="74" customWidth="1"/>
    <col min="9" max="9" width="13.00390625" style="74" bestFit="1" customWidth="1"/>
    <col min="10" max="10" width="11.625" style="74" customWidth="1"/>
    <col min="11" max="11" width="11.25390625" style="74" customWidth="1"/>
    <col min="12" max="16384" width="9.00390625" style="74" customWidth="1"/>
  </cols>
  <sheetData>
    <row r="2" spans="2:11" ht="15.75">
      <c r="B2" s="115"/>
      <c r="C2" s="98" t="s">
        <v>60</v>
      </c>
      <c r="D2" s="115"/>
      <c r="E2" s="115"/>
      <c r="F2" s="115"/>
      <c r="G2" s="26">
        <v>222000</v>
      </c>
      <c r="H2" s="26"/>
      <c r="I2" s="26"/>
      <c r="J2" s="26">
        <f>+G2</f>
        <v>222000</v>
      </c>
      <c r="K2" s="26">
        <f>+G2</f>
        <v>222000</v>
      </c>
    </row>
    <row r="3" spans="2:11" ht="15.75">
      <c r="B3" s="115"/>
      <c r="C3" s="116" t="s">
        <v>59</v>
      </c>
      <c r="D3" s="117"/>
      <c r="E3" s="117"/>
      <c r="F3" s="117"/>
      <c r="G3" s="118">
        <v>180000</v>
      </c>
      <c r="H3" s="118">
        <f>+G3</f>
        <v>180000</v>
      </c>
      <c r="I3" s="118">
        <f>+G3</f>
        <v>180000</v>
      </c>
      <c r="J3" s="118">
        <f>+G3</f>
        <v>180000</v>
      </c>
      <c r="K3" s="118"/>
    </row>
    <row r="4" spans="2:11" ht="15.75">
      <c r="B4" s="115"/>
      <c r="C4" s="98" t="s">
        <v>64</v>
      </c>
      <c r="D4" s="115"/>
      <c r="E4" s="115"/>
      <c r="F4" s="115"/>
      <c r="G4" s="26">
        <f>3240000/2</f>
        <v>1620000</v>
      </c>
      <c r="H4" s="26"/>
      <c r="I4" s="26"/>
      <c r="J4" s="26"/>
      <c r="K4" s="26"/>
    </row>
    <row r="5" spans="2:11" ht="15.75">
      <c r="B5" s="115"/>
      <c r="C5" s="116" t="s">
        <v>58</v>
      </c>
      <c r="D5" s="117"/>
      <c r="E5" s="117"/>
      <c r="F5" s="117"/>
      <c r="G5" s="118">
        <v>120000</v>
      </c>
      <c r="H5" s="118">
        <f>+G5</f>
        <v>120000</v>
      </c>
      <c r="I5" s="118"/>
      <c r="J5" s="118">
        <f>+G5</f>
        <v>120000</v>
      </c>
      <c r="K5" s="118"/>
    </row>
    <row r="6" spans="2:11" ht="15.75">
      <c r="B6" s="115"/>
      <c r="C6" s="116" t="s">
        <v>61</v>
      </c>
      <c r="D6" s="117"/>
      <c r="E6" s="117"/>
      <c r="F6" s="117"/>
      <c r="G6" s="118">
        <v>150000</v>
      </c>
      <c r="H6" s="118"/>
      <c r="I6" s="118">
        <f>+G6</f>
        <v>150000</v>
      </c>
      <c r="J6" s="118">
        <f>+G6</f>
        <v>150000</v>
      </c>
      <c r="K6" s="118"/>
    </row>
    <row r="7" spans="2:11" ht="15.75">
      <c r="B7" s="115"/>
      <c r="C7" s="98" t="s">
        <v>57</v>
      </c>
      <c r="D7" s="115"/>
      <c r="E7" s="115"/>
      <c r="F7" s="115"/>
      <c r="G7" s="26">
        <v>300000</v>
      </c>
      <c r="H7" s="26"/>
      <c r="I7" s="26"/>
      <c r="J7" s="118">
        <f>+G7</f>
        <v>300000</v>
      </c>
      <c r="K7" s="118">
        <f>+G7</f>
        <v>300000</v>
      </c>
    </row>
    <row r="8" spans="2:11" ht="15.75">
      <c r="B8" s="115"/>
      <c r="C8" s="98" t="s">
        <v>24</v>
      </c>
      <c r="D8" s="115"/>
      <c r="E8" s="115"/>
      <c r="F8" s="115"/>
      <c r="G8" s="26">
        <v>360000</v>
      </c>
      <c r="H8" s="26"/>
      <c r="I8" s="26"/>
      <c r="J8" s="26"/>
      <c r="K8" s="26"/>
    </row>
    <row r="9" ht="15.75">
      <c r="B9" s="115"/>
    </row>
    <row r="10" spans="2:11" ht="15.75"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115"/>
      <c r="C11" s="115"/>
      <c r="D11" s="115"/>
      <c r="E11" s="115"/>
      <c r="F11" s="115"/>
      <c r="G11" s="119">
        <f>+G3+G5+G6</f>
        <v>450000</v>
      </c>
      <c r="H11" s="119">
        <f>SUM(H2:H8)</f>
        <v>300000</v>
      </c>
      <c r="I11" s="119">
        <f>SUM(I2:I8)</f>
        <v>330000</v>
      </c>
      <c r="J11" s="119">
        <f>SUM(J2:J8)</f>
        <v>972000</v>
      </c>
      <c r="K11" s="119">
        <f>SUM(K2:K8)</f>
        <v>522000</v>
      </c>
    </row>
    <row r="12" spans="2:11" ht="15.75">
      <c r="B12" s="115"/>
      <c r="F12" s="115"/>
      <c r="G12" s="120"/>
      <c r="H12" s="120"/>
      <c r="I12" s="120"/>
      <c r="J12" s="120"/>
      <c r="K12" s="120"/>
    </row>
    <row r="13" spans="2:11" ht="15.75">
      <c r="B13" s="115"/>
      <c r="F13" s="115"/>
      <c r="G13" s="121"/>
      <c r="H13" s="121"/>
      <c r="I13" s="121"/>
      <c r="J13" s="121"/>
      <c r="K13" s="121"/>
    </row>
    <row r="14" spans="2:11" ht="15.75"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5.75">
      <c r="B15" s="115"/>
      <c r="C15" s="98" t="s">
        <v>62</v>
      </c>
      <c r="D15" s="115"/>
      <c r="E15" s="10">
        <v>45000</v>
      </c>
      <c r="F15" s="115"/>
      <c r="G15" s="204">
        <f>+G$11/$E15</f>
        <v>10</v>
      </c>
      <c r="H15" s="203">
        <f aca="true" t="shared" si="0" ref="H15:K16">+H$11/$E15</f>
        <v>6.666666666666667</v>
      </c>
      <c r="I15" s="122">
        <f t="shared" si="0"/>
        <v>7.333333333333333</v>
      </c>
      <c r="J15" s="122">
        <f t="shared" si="0"/>
        <v>21.6</v>
      </c>
      <c r="K15" s="122">
        <f t="shared" si="0"/>
        <v>11.6</v>
      </c>
    </row>
    <row r="16" spans="3:11" ht="15.75">
      <c r="C16" s="98" t="s">
        <v>65</v>
      </c>
      <c r="D16" s="115"/>
      <c r="E16" s="10">
        <v>60000</v>
      </c>
      <c r="G16" s="122">
        <f>+G$11/$E16</f>
        <v>7.5</v>
      </c>
      <c r="H16" s="122">
        <f t="shared" si="0"/>
        <v>5</v>
      </c>
      <c r="I16" s="122">
        <f t="shared" si="0"/>
        <v>5.5</v>
      </c>
      <c r="J16" s="203">
        <f t="shared" si="0"/>
        <v>16.2</v>
      </c>
      <c r="K16" s="203">
        <f t="shared" si="0"/>
        <v>8.7</v>
      </c>
    </row>
    <row r="19" ht="15.75">
      <c r="G19" s="26"/>
    </row>
    <row r="20" ht="15.75">
      <c r="G20" s="118"/>
    </row>
    <row r="21" ht="15.75">
      <c r="G21" s="26"/>
    </row>
    <row r="22" ht="15.75">
      <c r="G22" s="118"/>
    </row>
    <row r="23" ht="15.75">
      <c r="G23" s="118"/>
    </row>
    <row r="24" ht="15.75">
      <c r="G24" s="26"/>
    </row>
    <row r="25" ht="15.75">
      <c r="G25" s="2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F15" sqref="F15"/>
    </sheetView>
  </sheetViews>
  <sheetFormatPr defaultColWidth="9.00390625" defaultRowHeight="15.75"/>
  <cols>
    <col min="2" max="2" width="10.00390625" style="0" customWidth="1"/>
    <col min="3" max="3" width="10.375" style="0" bestFit="1" customWidth="1"/>
    <col min="4" max="4" width="9.125" style="0" bestFit="1" customWidth="1"/>
    <col min="5" max="5" width="11.375" style="0" bestFit="1" customWidth="1"/>
    <col min="6" max="6" width="17.125" style="0" customWidth="1"/>
    <col min="7" max="7" width="11.75390625" style="0" customWidth="1"/>
    <col min="9" max="9" width="9.125" style="0" bestFit="1" customWidth="1"/>
    <col min="10" max="10" width="10.125" style="0" bestFit="1" customWidth="1"/>
  </cols>
  <sheetData>
    <row r="2" spans="2:7" ht="15.75">
      <c r="B2" s="48" t="s">
        <v>166</v>
      </c>
      <c r="G2" s="48" t="s">
        <v>167</v>
      </c>
    </row>
    <row r="4" spans="2:10" ht="15.75">
      <c r="B4" t="s">
        <v>66</v>
      </c>
      <c r="C4" s="1" t="s">
        <v>67</v>
      </c>
      <c r="D4" s="1" t="s">
        <v>68</v>
      </c>
      <c r="E4" s="1" t="s">
        <v>2</v>
      </c>
      <c r="G4" t="s">
        <v>66</v>
      </c>
      <c r="H4" s="28" t="s">
        <v>67</v>
      </c>
      <c r="I4" s="29" t="s">
        <v>68</v>
      </c>
      <c r="J4" s="28" t="s">
        <v>2</v>
      </c>
    </row>
    <row r="5" spans="2:10" ht="15.75">
      <c r="B5" t="s">
        <v>69</v>
      </c>
      <c r="C5" s="19">
        <v>3000</v>
      </c>
      <c r="D5" s="19">
        <v>50</v>
      </c>
      <c r="E5" s="19">
        <f>+C5*D5</f>
        <v>150000</v>
      </c>
      <c r="F5" s="8"/>
      <c r="G5" s="8" t="s">
        <v>69</v>
      </c>
      <c r="H5" s="114" t="s">
        <v>114</v>
      </c>
      <c r="I5" s="123">
        <f>+D5</f>
        <v>50</v>
      </c>
      <c r="J5" s="19"/>
    </row>
    <row r="6" spans="2:10" ht="15.75">
      <c r="B6" t="s">
        <v>70</v>
      </c>
      <c r="C6" s="19">
        <v>200</v>
      </c>
      <c r="D6" s="19">
        <v>900</v>
      </c>
      <c r="E6" s="231">
        <f>+C6*D6</f>
        <v>180000</v>
      </c>
      <c r="F6" s="8"/>
      <c r="G6" s="8" t="s">
        <v>70</v>
      </c>
      <c r="H6" s="19">
        <v>10</v>
      </c>
      <c r="I6" s="123">
        <f>+D6</f>
        <v>900</v>
      </c>
      <c r="J6" s="124">
        <f>+H6*I6</f>
        <v>9000</v>
      </c>
    </row>
    <row r="7" spans="3:10" ht="15.75">
      <c r="C7" s="19"/>
      <c r="D7" s="123"/>
      <c r="E7" s="19">
        <f>+E5+E6</f>
        <v>330000</v>
      </c>
      <c r="F7" s="8"/>
      <c r="G7" s="8"/>
      <c r="H7" s="19"/>
      <c r="I7" s="123"/>
      <c r="J7" s="19"/>
    </row>
    <row r="8" spans="3:10" ht="15.75">
      <c r="C8" s="19"/>
      <c r="D8" s="123"/>
      <c r="E8" s="19"/>
      <c r="F8" s="8"/>
      <c r="G8" s="8"/>
      <c r="H8" s="8"/>
      <c r="I8" s="8"/>
      <c r="J8" s="8"/>
    </row>
    <row r="9" spans="2:10" ht="15.75">
      <c r="B9" t="s">
        <v>71</v>
      </c>
      <c r="C9" s="19"/>
      <c r="D9" s="123"/>
      <c r="E9" s="19"/>
      <c r="F9" s="8"/>
      <c r="G9" s="8" t="s">
        <v>71</v>
      </c>
      <c r="H9" s="19"/>
      <c r="I9" s="123"/>
      <c r="J9" s="19"/>
    </row>
    <row r="10" spans="2:10" ht="15.75">
      <c r="B10" t="s">
        <v>69</v>
      </c>
      <c r="C10" s="19">
        <f>+C5</f>
        <v>3000</v>
      </c>
      <c r="D10" s="123">
        <f>+E10/C10</f>
        <v>110</v>
      </c>
      <c r="E10" s="19">
        <f>+E7</f>
        <v>330000</v>
      </c>
      <c r="F10" s="8"/>
      <c r="G10" s="8" t="s">
        <v>69</v>
      </c>
      <c r="H10" s="232" t="str">
        <f>+H5</f>
        <v>X</v>
      </c>
      <c r="I10" s="123">
        <f>+D10</f>
        <v>110</v>
      </c>
      <c r="J10" s="19"/>
    </row>
    <row r="11" spans="3:10" ht="15.75">
      <c r="C11" s="19"/>
      <c r="D11" s="123"/>
      <c r="E11" s="19"/>
      <c r="F11" s="8"/>
      <c r="G11" s="8"/>
      <c r="H11" s="8"/>
      <c r="I11" s="8"/>
      <c r="J11" s="8">
        <v>-600</v>
      </c>
    </row>
    <row r="12" spans="3:5" ht="15.75">
      <c r="C12" s="17"/>
      <c r="D12" s="27"/>
      <c r="E12" s="17"/>
    </row>
    <row r="13" spans="2:14" ht="15.75">
      <c r="B13" t="s">
        <v>71</v>
      </c>
      <c r="C13" s="17"/>
      <c r="D13" s="27"/>
      <c r="E13" s="17"/>
      <c r="H13" s="126" t="str">
        <f>+H10</f>
        <v>X</v>
      </c>
      <c r="I13" s="127">
        <f>+I10</f>
        <v>110</v>
      </c>
      <c r="J13" s="128"/>
      <c r="K13" s="272" t="s">
        <v>168</v>
      </c>
      <c r="L13" s="126" t="str">
        <f>+H5</f>
        <v>X</v>
      </c>
      <c r="M13" s="127">
        <f>+I5</f>
        <v>50</v>
      </c>
      <c r="N13" s="128"/>
    </row>
    <row r="14" spans="2:14" ht="15.75">
      <c r="B14" s="48" t="s">
        <v>169</v>
      </c>
      <c r="C14" s="17">
        <f>+C6</f>
        <v>200</v>
      </c>
      <c r="D14" s="27">
        <f>+E14/C14</f>
        <v>1650</v>
      </c>
      <c r="E14" s="17">
        <f>+E7</f>
        <v>330000</v>
      </c>
      <c r="H14" s="129"/>
      <c r="I14" s="61"/>
      <c r="J14" s="130">
        <f>+J11</f>
        <v>-600</v>
      </c>
      <c r="K14" s="273"/>
      <c r="L14" s="131"/>
      <c r="M14" s="44"/>
      <c r="N14" s="130">
        <f>+J6</f>
        <v>9000</v>
      </c>
    </row>
    <row r="16" spans="3:14" ht="15.75">
      <c r="C16" s="17"/>
      <c r="D16" s="27"/>
      <c r="E16" s="17"/>
      <c r="H16" s="132" t="str">
        <f>+H13</f>
        <v>X</v>
      </c>
      <c r="I16" s="133">
        <f>+I13-M13</f>
        <v>60</v>
      </c>
      <c r="J16" s="134"/>
      <c r="K16" s="125" t="s">
        <v>168</v>
      </c>
      <c r="L16" s="135"/>
      <c r="M16" s="136"/>
      <c r="N16" s="137">
        <f>+N14-J14</f>
        <v>9600</v>
      </c>
    </row>
    <row r="17" spans="2:11" ht="15.75">
      <c r="B17" s="8"/>
      <c r="C17" s="19"/>
      <c r="D17" s="123"/>
      <c r="E17" s="19"/>
      <c r="F17" s="8"/>
      <c r="G17" s="8"/>
      <c r="H17" s="19"/>
      <c r="I17" s="123"/>
      <c r="J17" s="19"/>
      <c r="K17" s="8"/>
    </row>
    <row r="18" spans="2:14" ht="15.75">
      <c r="B18" s="8"/>
      <c r="C18" s="19"/>
      <c r="D18" s="123"/>
      <c r="E18" s="19"/>
      <c r="F18" s="8"/>
      <c r="G18" s="8"/>
      <c r="H18" s="132" t="str">
        <f>+H16</f>
        <v>X</v>
      </c>
      <c r="I18" s="138"/>
      <c r="J18" s="139"/>
      <c r="K18" s="125" t="s">
        <v>168</v>
      </c>
      <c r="L18" s="135"/>
      <c r="M18" s="136"/>
      <c r="N18" s="140">
        <f>+N16/I16</f>
        <v>160</v>
      </c>
    </row>
    <row r="19" spans="2:10" ht="15.75">
      <c r="B19" s="8"/>
      <c r="C19" s="19"/>
      <c r="D19" s="19"/>
      <c r="E19" s="19"/>
      <c r="F19" s="8"/>
      <c r="G19" s="8"/>
      <c r="H19" s="8"/>
      <c r="I19" s="8"/>
      <c r="J19" s="8"/>
    </row>
    <row r="20" spans="2:10" ht="15.75">
      <c r="B20" s="8"/>
      <c r="C20" s="19"/>
      <c r="D20" s="19"/>
      <c r="E20" s="19"/>
      <c r="F20" s="8"/>
      <c r="G20" s="8"/>
      <c r="H20" s="8"/>
      <c r="I20" s="8"/>
      <c r="J20" s="9"/>
    </row>
  </sheetData>
  <sheetProtection/>
  <mergeCells count="1">
    <mergeCell ref="K13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G44" sqref="G44"/>
    </sheetView>
  </sheetViews>
  <sheetFormatPr defaultColWidth="9.00390625" defaultRowHeight="15.75"/>
  <cols>
    <col min="1" max="1" width="5.75390625" style="79" customWidth="1"/>
    <col min="2" max="2" width="27.25390625" style="79" customWidth="1"/>
    <col min="3" max="5" width="12.625" style="79" customWidth="1"/>
    <col min="6" max="6" width="4.125" style="79" customWidth="1"/>
    <col min="7" max="7" width="11.125" style="79" customWidth="1"/>
    <col min="8" max="8" width="9.00390625" style="79" customWidth="1"/>
    <col min="9" max="9" width="10.875" style="79" customWidth="1"/>
    <col min="10" max="10" width="12.25390625" style="79" customWidth="1"/>
    <col min="11" max="11" width="11.625" style="79" customWidth="1"/>
    <col min="12" max="12" width="13.50390625" style="79" customWidth="1"/>
    <col min="13" max="16384" width="9.00390625" style="79" customWidth="1"/>
  </cols>
  <sheetData>
    <row r="1" spans="3:5" ht="15">
      <c r="C1" s="141"/>
      <c r="D1" s="141"/>
      <c r="E1" s="141"/>
    </row>
    <row r="2" spans="2:5" ht="15">
      <c r="B2" s="79" t="s">
        <v>72</v>
      </c>
      <c r="C2" s="142" t="s">
        <v>207</v>
      </c>
      <c r="D2" s="142" t="s">
        <v>208</v>
      </c>
      <c r="E2" s="142" t="s">
        <v>209</v>
      </c>
    </row>
    <row r="3" spans="3:5" ht="15">
      <c r="C3" s="142"/>
      <c r="D3" s="142"/>
      <c r="E3" s="142"/>
    </row>
    <row r="4" spans="2:10" ht="15">
      <c r="B4" s="79" t="s">
        <v>73</v>
      </c>
      <c r="C4" s="30">
        <v>5500</v>
      </c>
      <c r="D4" s="30">
        <v>6000</v>
      </c>
      <c r="E4" s="30">
        <v>3900</v>
      </c>
      <c r="H4" s="30"/>
      <c r="I4" s="30"/>
      <c r="J4" s="30"/>
    </row>
    <row r="5" spans="2:10" ht="15">
      <c r="B5" s="79" t="s">
        <v>74</v>
      </c>
      <c r="C5" s="143">
        <v>60</v>
      </c>
      <c r="D5" s="143">
        <v>55</v>
      </c>
      <c r="E5" s="143">
        <v>50</v>
      </c>
      <c r="H5" s="143"/>
      <c r="I5" s="143"/>
      <c r="J5" s="143"/>
    </row>
    <row r="6" spans="2:10" ht="15">
      <c r="B6" s="79" t="s">
        <v>75</v>
      </c>
      <c r="C6" s="143">
        <v>120</v>
      </c>
      <c r="D6" s="143">
        <v>145</v>
      </c>
      <c r="E6" s="143">
        <v>130</v>
      </c>
      <c r="H6" s="143"/>
      <c r="I6" s="143"/>
      <c r="J6" s="143"/>
    </row>
    <row r="8" spans="2:5" ht="15">
      <c r="B8" s="79" t="s">
        <v>76</v>
      </c>
      <c r="C8" s="142" t="s">
        <v>207</v>
      </c>
      <c r="D8" s="142" t="s">
        <v>208</v>
      </c>
      <c r="E8" s="142" t="s">
        <v>209</v>
      </c>
    </row>
    <row r="9" spans="3:5" ht="15">
      <c r="C9" s="142"/>
      <c r="D9" s="142"/>
      <c r="E9" s="142"/>
    </row>
    <row r="10" spans="2:5" ht="15">
      <c r="B10" s="79" t="s">
        <v>77</v>
      </c>
      <c r="C10" s="79">
        <v>220</v>
      </c>
      <c r="D10" s="79">
        <v>300</v>
      </c>
      <c r="E10" s="79">
        <v>275</v>
      </c>
    </row>
    <row r="11" spans="2:5" ht="15">
      <c r="B11" s="79" t="s">
        <v>78</v>
      </c>
      <c r="C11" s="79">
        <v>500</v>
      </c>
      <c r="D11" s="79">
        <v>300</v>
      </c>
      <c r="E11" s="79">
        <v>220</v>
      </c>
    </row>
    <row r="12" spans="2:5" ht="15">
      <c r="B12" s="79" t="s">
        <v>79</v>
      </c>
      <c r="C12" s="79">
        <v>240</v>
      </c>
      <c r="D12" s="79">
        <v>240</v>
      </c>
      <c r="E12" s="79">
        <v>50</v>
      </c>
    </row>
    <row r="13" spans="2:5" ht="15">
      <c r="B13" s="79" t="s">
        <v>80</v>
      </c>
      <c r="C13" s="79">
        <v>80</v>
      </c>
      <c r="D13" s="79">
        <v>40</v>
      </c>
      <c r="E13" s="79">
        <v>30</v>
      </c>
    </row>
    <row r="15" spans="2:4" ht="15">
      <c r="B15" s="79" t="s">
        <v>81</v>
      </c>
      <c r="C15" s="142" t="s">
        <v>82</v>
      </c>
      <c r="D15" s="142" t="s">
        <v>82</v>
      </c>
    </row>
    <row r="16" spans="3:4" ht="15">
      <c r="C16" s="142" t="s">
        <v>83</v>
      </c>
      <c r="D16" s="142" t="s">
        <v>84</v>
      </c>
    </row>
    <row r="17" spans="3:4" ht="15">
      <c r="C17" s="142"/>
      <c r="D17" s="142"/>
    </row>
    <row r="18" spans="2:10" ht="15">
      <c r="B18" s="79" t="s">
        <v>77</v>
      </c>
      <c r="C18" s="31">
        <v>8100000</v>
      </c>
      <c r="D18" s="30">
        <v>2700</v>
      </c>
      <c r="G18" s="31"/>
      <c r="H18" s="30"/>
      <c r="I18" s="31"/>
      <c r="J18" s="30"/>
    </row>
    <row r="19" spans="2:10" ht="15">
      <c r="B19" s="79" t="s">
        <v>78</v>
      </c>
      <c r="C19" s="31">
        <v>2160000</v>
      </c>
      <c r="D19" s="30">
        <v>18000</v>
      </c>
      <c r="G19" s="31"/>
      <c r="H19" s="30"/>
      <c r="I19" s="31"/>
      <c r="J19" s="30"/>
    </row>
    <row r="20" spans="2:10" ht="15">
      <c r="B20" s="79" t="s">
        <v>79</v>
      </c>
      <c r="C20" s="31">
        <v>2700000</v>
      </c>
      <c r="D20" s="30">
        <v>1440</v>
      </c>
      <c r="G20" s="31"/>
      <c r="H20" s="30"/>
      <c r="I20" s="31"/>
      <c r="J20" s="30"/>
    </row>
    <row r="21" spans="2:10" ht="15">
      <c r="B21" s="79" t="s">
        <v>80</v>
      </c>
      <c r="C21" s="31">
        <v>3240000</v>
      </c>
      <c r="D21" s="30">
        <v>540</v>
      </c>
      <c r="F21" s="143"/>
      <c r="G21" s="31"/>
      <c r="H21" s="30"/>
      <c r="I21" s="31"/>
      <c r="J21" s="30"/>
    </row>
    <row r="23" spans="2:7" ht="15">
      <c r="B23" s="79" t="s">
        <v>85</v>
      </c>
      <c r="C23" s="142" t="s">
        <v>207</v>
      </c>
      <c r="D23" s="142" t="s">
        <v>208</v>
      </c>
      <c r="E23" s="142" t="s">
        <v>209</v>
      </c>
      <c r="G23" s="144" t="s">
        <v>86</v>
      </c>
    </row>
    <row r="24" spans="2:7" ht="15">
      <c r="B24" s="79" t="s">
        <v>77</v>
      </c>
      <c r="C24" s="145">
        <f aca="true" t="shared" si="0" ref="C24:E27">+C10*$G24</f>
        <v>660000</v>
      </c>
      <c r="D24" s="145">
        <f t="shared" si="0"/>
        <v>900000</v>
      </c>
      <c r="E24" s="145">
        <f t="shared" si="0"/>
        <v>825000</v>
      </c>
      <c r="G24" s="146">
        <f>+C18/D18</f>
        <v>3000</v>
      </c>
    </row>
    <row r="25" spans="2:7" ht="15">
      <c r="B25" s="79" t="s">
        <v>78</v>
      </c>
      <c r="C25" s="145">
        <f t="shared" si="0"/>
        <v>60000</v>
      </c>
      <c r="D25" s="145">
        <f t="shared" si="0"/>
        <v>36000</v>
      </c>
      <c r="E25" s="145">
        <f t="shared" si="0"/>
        <v>26400</v>
      </c>
      <c r="G25" s="146">
        <f>+C19/D19</f>
        <v>120</v>
      </c>
    </row>
    <row r="26" spans="2:7" ht="15">
      <c r="B26" s="79" t="s">
        <v>79</v>
      </c>
      <c r="C26" s="145">
        <f t="shared" si="0"/>
        <v>450000</v>
      </c>
      <c r="D26" s="145">
        <f t="shared" si="0"/>
        <v>450000</v>
      </c>
      <c r="E26" s="145">
        <f t="shared" si="0"/>
        <v>93750</v>
      </c>
      <c r="G26" s="146">
        <f>+C20/D20</f>
        <v>1875</v>
      </c>
    </row>
    <row r="27" spans="2:7" ht="15">
      <c r="B27" s="79" t="s">
        <v>80</v>
      </c>
      <c r="C27" s="147">
        <f t="shared" si="0"/>
        <v>480000</v>
      </c>
      <c r="D27" s="147">
        <f t="shared" si="0"/>
        <v>240000</v>
      </c>
      <c r="E27" s="147">
        <f t="shared" si="0"/>
        <v>180000</v>
      </c>
      <c r="G27" s="146">
        <f>+C21/D21</f>
        <v>6000</v>
      </c>
    </row>
    <row r="28" spans="2:5" ht="15">
      <c r="B28" s="79" t="s">
        <v>87</v>
      </c>
      <c r="C28" s="148">
        <f>SUM(C24:C27)</f>
        <v>1650000</v>
      </c>
      <c r="D28" s="148">
        <f>SUM(D24:D27)</f>
        <v>1626000</v>
      </c>
      <c r="E28" s="148">
        <f>SUM(E24:E27)</f>
        <v>1125150</v>
      </c>
    </row>
    <row r="29" spans="2:11" ht="15">
      <c r="B29" s="79" t="s">
        <v>73</v>
      </c>
      <c r="C29" s="32">
        <f>+C4</f>
        <v>5500</v>
      </c>
      <c r="D29" s="32">
        <f>+D4</f>
        <v>6000</v>
      </c>
      <c r="E29" s="32">
        <f>+E4</f>
        <v>3900</v>
      </c>
      <c r="I29" s="149"/>
      <c r="J29" s="149"/>
      <c r="K29" s="149"/>
    </row>
    <row r="30" spans="2:11" ht="15">
      <c r="B30" s="79" t="s">
        <v>88</v>
      </c>
      <c r="C30" s="233">
        <f>+C28/C29</f>
        <v>300</v>
      </c>
      <c r="D30" s="233">
        <f>+D28/D29</f>
        <v>271</v>
      </c>
      <c r="E30" s="233">
        <f>+E28/E29</f>
        <v>288.5</v>
      </c>
      <c r="I30" s="149"/>
      <c r="J30" s="149"/>
      <c r="K30" s="149"/>
    </row>
    <row r="31" spans="3:4" ht="15">
      <c r="C31" s="149"/>
      <c r="D31" s="145"/>
    </row>
    <row r="32" spans="2:5" ht="15">
      <c r="B32" s="79" t="s">
        <v>89</v>
      </c>
      <c r="C32" s="142" t="s">
        <v>207</v>
      </c>
      <c r="D32" s="142" t="s">
        <v>208</v>
      </c>
      <c r="E32" s="142" t="s">
        <v>209</v>
      </c>
    </row>
    <row r="33" spans="2:11" ht="15">
      <c r="B33" s="79" t="s">
        <v>74</v>
      </c>
      <c r="C33" s="143">
        <f aca="true" t="shared" si="1" ref="C33:E34">+C5</f>
        <v>60</v>
      </c>
      <c r="D33" s="143">
        <f t="shared" si="1"/>
        <v>55</v>
      </c>
      <c r="E33" s="143">
        <f t="shared" si="1"/>
        <v>50</v>
      </c>
      <c r="I33" s="143"/>
      <c r="J33" s="143"/>
      <c r="K33" s="143"/>
    </row>
    <row r="34" spans="2:11" ht="15">
      <c r="B34" s="79" t="s">
        <v>90</v>
      </c>
      <c r="C34" s="143">
        <f t="shared" si="1"/>
        <v>120</v>
      </c>
      <c r="D34" s="143">
        <f t="shared" si="1"/>
        <v>145</v>
      </c>
      <c r="E34" s="143">
        <f t="shared" si="1"/>
        <v>130</v>
      </c>
      <c r="I34" s="143"/>
      <c r="J34" s="143"/>
      <c r="K34" s="143"/>
    </row>
    <row r="35" spans="2:11" ht="15">
      <c r="B35" s="79" t="s">
        <v>88</v>
      </c>
      <c r="C35" s="150">
        <f>+C30</f>
        <v>300</v>
      </c>
      <c r="D35" s="150">
        <f>+D30</f>
        <v>271</v>
      </c>
      <c r="E35" s="150">
        <f>+E30</f>
        <v>288.5</v>
      </c>
      <c r="I35" s="149"/>
      <c r="J35" s="149"/>
      <c r="K35" s="149"/>
    </row>
    <row r="36" spans="2:11" ht="15">
      <c r="B36" s="79" t="s">
        <v>91</v>
      </c>
      <c r="C36" s="151">
        <f>SUM(C33:C35)</f>
        <v>480</v>
      </c>
      <c r="D36" s="152">
        <f>SUM(D33:D35)</f>
        <v>471</v>
      </c>
      <c r="E36" s="152">
        <f>SUM(E33:E35)</f>
        <v>468.5</v>
      </c>
      <c r="I36" s="143"/>
      <c r="J36" s="143"/>
      <c r="K36" s="143"/>
    </row>
    <row r="37" ht="15">
      <c r="D37" s="1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F32" sqref="F32"/>
    </sheetView>
  </sheetViews>
  <sheetFormatPr defaultColWidth="9.00390625" defaultRowHeight="15.75"/>
  <cols>
    <col min="1" max="1" width="3.125" style="78" customWidth="1"/>
    <col min="2" max="2" width="27.375" style="78" customWidth="1"/>
    <col min="3" max="3" width="9.00390625" style="78" customWidth="1"/>
    <col min="4" max="4" width="10.375" style="78" bestFit="1" customWidth="1"/>
    <col min="5" max="5" width="7.875" style="78" customWidth="1"/>
    <col min="6" max="6" width="13.375" style="78" customWidth="1"/>
    <col min="7" max="7" width="10.375" style="78" bestFit="1" customWidth="1"/>
    <col min="8" max="8" width="2.50390625" style="78" customWidth="1"/>
    <col min="9" max="10" width="10.375" style="78" bestFit="1" customWidth="1"/>
    <col min="11" max="11" width="10.625" style="78" customWidth="1"/>
    <col min="12" max="16384" width="9.00390625" style="78" customWidth="1"/>
  </cols>
  <sheetData>
    <row r="2" spans="2:7" ht="15.75">
      <c r="B2" s="48" t="s">
        <v>243</v>
      </c>
      <c r="C2"/>
      <c r="D2"/>
      <c r="E2"/>
      <c r="F2"/>
      <c r="G2"/>
    </row>
    <row r="3" spans="2:14" ht="15.75">
      <c r="B3" s="8" t="s">
        <v>8</v>
      </c>
      <c r="C3" s="8"/>
      <c r="D3" s="8"/>
      <c r="E3" s="8"/>
      <c r="F3" s="242">
        <v>20</v>
      </c>
      <c r="G3" s="46"/>
      <c r="H3" s="153"/>
      <c r="K3" s="153"/>
      <c r="N3" s="153"/>
    </row>
    <row r="4" spans="2:14" ht="15.75">
      <c r="B4" s="8" t="s">
        <v>3</v>
      </c>
      <c r="C4" s="8"/>
      <c r="D4" s="8"/>
      <c r="E4" s="8"/>
      <c r="F4" s="242">
        <v>2</v>
      </c>
      <c r="G4" s="46"/>
      <c r="H4" s="153"/>
      <c r="K4" s="153"/>
      <c r="N4" s="153"/>
    </row>
    <row r="5" spans="2:14" ht="15.75">
      <c r="B5" s="8" t="s">
        <v>170</v>
      </c>
      <c r="C5" s="8"/>
      <c r="D5" s="243"/>
      <c r="E5" s="243"/>
      <c r="F5" s="162"/>
      <c r="G5" s="46">
        <f>+F3+F4</f>
        <v>22</v>
      </c>
      <c r="H5" s="153"/>
      <c r="J5" s="153"/>
      <c r="K5" s="153"/>
      <c r="M5" s="153"/>
      <c r="N5" s="153"/>
    </row>
    <row r="6" spans="2:14" ht="15.75">
      <c r="B6" s="8"/>
      <c r="C6" s="8"/>
      <c r="D6" s="243"/>
      <c r="E6" s="243"/>
      <c r="F6" s="243"/>
      <c r="G6" s="2"/>
      <c r="H6" s="153"/>
      <c r="J6" s="153"/>
      <c r="K6" s="153"/>
      <c r="M6" s="153"/>
      <c r="N6" s="153"/>
    </row>
    <row r="7" spans="2:14" ht="15.75">
      <c r="B7" s="8" t="s">
        <v>171</v>
      </c>
      <c r="C7" s="8"/>
      <c r="D7" s="243"/>
      <c r="E7" s="243"/>
      <c r="F7" s="243"/>
      <c r="G7" s="2"/>
      <c r="H7" s="153"/>
      <c r="J7" s="153"/>
      <c r="K7" s="153"/>
      <c r="M7" s="153"/>
      <c r="N7" s="153"/>
    </row>
    <row r="8" spans="2:14" ht="15.75">
      <c r="B8" s="8" t="s">
        <v>172</v>
      </c>
      <c r="C8" s="8"/>
      <c r="D8" s="19">
        <v>18000</v>
      </c>
      <c r="E8" s="243"/>
      <c r="F8" s="243"/>
      <c r="G8" s="2"/>
      <c r="H8" s="153"/>
      <c r="K8" s="153"/>
      <c r="N8" s="153"/>
    </row>
    <row r="9" spans="2:14" ht="15.75">
      <c r="B9" s="8" t="s">
        <v>3</v>
      </c>
      <c r="C9" s="8"/>
      <c r="D9" s="231">
        <v>13000</v>
      </c>
      <c r="E9" s="243"/>
      <c r="F9" s="243"/>
      <c r="G9" s="2"/>
      <c r="H9" s="153"/>
      <c r="K9" s="153"/>
      <c r="N9" s="153"/>
    </row>
    <row r="10" spans="2:13" ht="15.75">
      <c r="B10" s="8" t="s">
        <v>173</v>
      </c>
      <c r="C10" s="8"/>
      <c r="D10" s="243">
        <f>+D8-D9</f>
        <v>5000</v>
      </c>
      <c r="E10" s="243"/>
      <c r="F10" s="243"/>
      <c r="G10" s="2"/>
      <c r="M10" s="156"/>
    </row>
    <row r="11" spans="2:13" ht="15.75">
      <c r="B11" s="177" t="s">
        <v>244</v>
      </c>
      <c r="C11" s="8"/>
      <c r="D11" s="231">
        <v>6000</v>
      </c>
      <c r="E11" s="243"/>
      <c r="F11" s="243"/>
      <c r="G11" s="2"/>
      <c r="J11" s="157"/>
      <c r="M11" s="157"/>
    </row>
    <row r="12" spans="2:7" ht="15.75">
      <c r="B12" s="8" t="s">
        <v>174</v>
      </c>
      <c r="C12" s="8"/>
      <c r="D12" s="243"/>
      <c r="E12" s="243">
        <f>+D11-D10</f>
        <v>1000</v>
      </c>
      <c r="F12" s="243"/>
      <c r="G12" s="2"/>
    </row>
    <row r="13" spans="2:14" ht="15.75">
      <c r="B13" s="8" t="s">
        <v>175</v>
      </c>
      <c r="C13" s="8"/>
      <c r="D13" s="243"/>
      <c r="E13" s="243"/>
      <c r="F13" s="243"/>
      <c r="G13" s="2"/>
      <c r="H13" s="155"/>
      <c r="K13" s="155"/>
      <c r="N13" s="155"/>
    </row>
    <row r="14" spans="2:7" ht="15.75">
      <c r="B14" s="8" t="s">
        <v>0</v>
      </c>
      <c r="C14" s="8"/>
      <c r="D14" s="242">
        <v>30</v>
      </c>
      <c r="E14" s="162"/>
      <c r="F14" s="243"/>
      <c r="G14" s="2"/>
    </row>
    <row r="15" spans="2:7" ht="15.75">
      <c r="B15" s="8" t="s">
        <v>8</v>
      </c>
      <c r="C15" s="242">
        <f>+F3</f>
        <v>20</v>
      </c>
      <c r="E15" s="162"/>
      <c r="F15" s="243"/>
      <c r="G15" s="2"/>
    </row>
    <row r="16" spans="2:7" ht="15.75">
      <c r="B16" s="8" t="s">
        <v>3</v>
      </c>
      <c r="C16" s="242">
        <v>4</v>
      </c>
      <c r="E16" s="162"/>
      <c r="F16" s="243"/>
      <c r="G16" s="2"/>
    </row>
    <row r="17" spans="2:7" ht="15.75">
      <c r="B17" s="8" t="s">
        <v>110</v>
      </c>
      <c r="C17" s="8"/>
      <c r="D17" s="163">
        <f>+C16+C15</f>
        <v>24</v>
      </c>
      <c r="E17" s="162"/>
      <c r="F17" s="243"/>
      <c r="G17" s="2"/>
    </row>
    <row r="18" spans="2:7" ht="15.75">
      <c r="B18" s="8" t="s">
        <v>117</v>
      </c>
      <c r="C18" s="8"/>
      <c r="D18" s="162"/>
      <c r="E18" s="163">
        <f>+D14-D17</f>
        <v>6</v>
      </c>
      <c r="F18" s="243"/>
      <c r="G18" s="2"/>
    </row>
    <row r="19" spans="2:13" ht="15.75">
      <c r="B19" t="s">
        <v>176</v>
      </c>
      <c r="C19"/>
      <c r="D19" s="2"/>
      <c r="E19" s="2"/>
      <c r="F19" s="46">
        <f>+E12*E18</f>
        <v>6000</v>
      </c>
      <c r="G19" s="2"/>
      <c r="H19" s="153"/>
      <c r="I19" s="153"/>
      <c r="J19" s="153"/>
      <c r="M19" s="153"/>
    </row>
    <row r="20" spans="2:13" ht="15.75">
      <c r="B20" t="s">
        <v>244</v>
      </c>
      <c r="C20"/>
      <c r="D20" s="2"/>
      <c r="E20" s="2"/>
      <c r="F20" s="14">
        <f>+D11</f>
        <v>6000</v>
      </c>
      <c r="G20" s="2"/>
      <c r="H20" s="153"/>
      <c r="I20" s="153"/>
      <c r="J20" s="153"/>
      <c r="M20" s="153"/>
    </row>
    <row r="21" spans="2:14" ht="15.75">
      <c r="B21" t="s">
        <v>177</v>
      </c>
      <c r="C21"/>
      <c r="D21" s="2"/>
      <c r="E21" s="2"/>
      <c r="F21" s="2"/>
      <c r="G21" s="234">
        <f>+F19/F20</f>
        <v>1</v>
      </c>
      <c r="H21" s="235"/>
      <c r="I21" s="235"/>
      <c r="J21" s="153"/>
      <c r="K21" s="153"/>
      <c r="M21" s="153"/>
      <c r="N21" s="153"/>
    </row>
    <row r="22" spans="2:13" ht="15.75">
      <c r="B22" t="s">
        <v>178</v>
      </c>
      <c r="C22"/>
      <c r="D22" s="2"/>
      <c r="E22" s="2"/>
      <c r="F22" s="2"/>
      <c r="G22" s="236">
        <f>+G21+G5</f>
        <v>23</v>
      </c>
      <c r="H22" s="235"/>
      <c r="I22" s="237">
        <f>+G22</f>
        <v>23</v>
      </c>
      <c r="J22" s="155"/>
      <c r="M22" s="155"/>
    </row>
    <row r="23" spans="2:13" ht="15.75">
      <c r="B23" s="78" t="s">
        <v>179</v>
      </c>
      <c r="D23" s="155"/>
      <c r="E23" s="153"/>
      <c r="G23" s="238">
        <v>28</v>
      </c>
      <c r="H23" s="235"/>
      <c r="I23" s="237"/>
      <c r="M23" s="156"/>
    </row>
    <row r="24" spans="2:14" ht="15.75">
      <c r="B24" s="78" t="s">
        <v>180</v>
      </c>
      <c r="E24" s="153"/>
      <c r="F24" s="153"/>
      <c r="G24" s="237">
        <f>+G23-G22</f>
        <v>5</v>
      </c>
      <c r="H24" s="235"/>
      <c r="I24" s="237"/>
      <c r="J24" s="153"/>
      <c r="K24" s="154"/>
      <c r="M24" s="153"/>
      <c r="N24" s="158"/>
    </row>
    <row r="25" spans="2:14" ht="15.75">
      <c r="B25" s="78" t="s">
        <v>182</v>
      </c>
      <c r="G25" s="239">
        <v>2</v>
      </c>
      <c r="H25" s="235"/>
      <c r="I25" s="235"/>
      <c r="J25" s="153"/>
      <c r="K25" s="153"/>
      <c r="M25" s="153"/>
      <c r="N25" s="153"/>
    </row>
    <row r="26" spans="2:9" ht="15.75">
      <c r="B26" s="78" t="s">
        <v>181</v>
      </c>
      <c r="E26" s="153"/>
      <c r="F26" s="153"/>
      <c r="G26" s="237">
        <f>+G24/G25</f>
        <v>2.5</v>
      </c>
      <c r="H26" s="235"/>
      <c r="I26" s="240">
        <f>+G26</f>
        <v>2.5</v>
      </c>
    </row>
    <row r="27" spans="2:14" ht="15.75">
      <c r="B27" s="78" t="s">
        <v>245</v>
      </c>
      <c r="G27" s="235"/>
      <c r="H27" s="235"/>
      <c r="I27" s="241">
        <f>+I22+I26</f>
        <v>25.5</v>
      </c>
      <c r="J27" s="153"/>
      <c r="K27" s="153"/>
      <c r="N27" s="153"/>
    </row>
    <row r="28" spans="5:14" ht="15.75">
      <c r="E28" s="159"/>
      <c r="G28" s="235"/>
      <c r="H28" s="235"/>
      <c r="I28" s="235"/>
      <c r="K28" s="159"/>
      <c r="N28" s="159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F23" sqref="F23"/>
    </sheetView>
  </sheetViews>
  <sheetFormatPr defaultColWidth="9.00390625" defaultRowHeight="15.75"/>
  <cols>
    <col min="1" max="1" width="4.125" style="74" customWidth="1"/>
    <col min="2" max="2" width="36.875" style="74" customWidth="1"/>
    <col min="3" max="3" width="11.625" style="74" customWidth="1"/>
    <col min="4" max="4" width="11.375" style="74" bestFit="1" customWidth="1"/>
    <col min="5" max="5" width="11.50390625" style="74" customWidth="1"/>
    <col min="6" max="6" width="10.625" style="74" customWidth="1"/>
    <col min="7" max="7" width="4.75390625" style="74" customWidth="1"/>
    <col min="8" max="9" width="11.375" style="74" bestFit="1" customWidth="1"/>
    <col min="10" max="10" width="11.125" style="74" customWidth="1"/>
    <col min="11" max="16384" width="9.00390625" style="74" customWidth="1"/>
  </cols>
  <sheetData>
    <row r="1" spans="2:12" ht="15.75">
      <c r="B1" s="103"/>
      <c r="C1" s="103"/>
      <c r="D1" s="103"/>
      <c r="E1" s="244" t="s">
        <v>97</v>
      </c>
      <c r="F1" s="244" t="s">
        <v>96</v>
      </c>
      <c r="G1" s="244"/>
      <c r="H1" s="244" t="s">
        <v>7</v>
      </c>
      <c r="I1" s="244" t="s">
        <v>95</v>
      </c>
      <c r="J1" s="103"/>
      <c r="K1" s="103"/>
      <c r="L1" s="103"/>
    </row>
    <row r="2" spans="2:12" ht="15.7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>
      <c r="B3" s="245" t="s">
        <v>210</v>
      </c>
      <c r="C3" s="246">
        <f>0.666666666666667*100%</f>
        <v>0.6666666666666666</v>
      </c>
      <c r="D3" s="10">
        <v>300000</v>
      </c>
      <c r="E3" s="243"/>
      <c r="F3" s="243">
        <f>+C3*D3</f>
        <v>200000</v>
      </c>
      <c r="G3" s="243"/>
      <c r="H3" s="243"/>
      <c r="I3" s="243">
        <f>+D3</f>
        <v>300000</v>
      </c>
      <c r="J3" s="247"/>
      <c r="K3" s="103"/>
      <c r="L3" s="103"/>
    </row>
    <row r="4" spans="2:12" ht="15.75">
      <c r="B4" s="245" t="s">
        <v>211</v>
      </c>
      <c r="C4" s="246">
        <v>0.3</v>
      </c>
      <c r="D4" s="10">
        <v>255000</v>
      </c>
      <c r="E4" s="243"/>
      <c r="F4" s="243">
        <f>+C4*D4</f>
        <v>76500</v>
      </c>
      <c r="G4" s="243"/>
      <c r="H4" s="243"/>
      <c r="I4" s="243"/>
      <c r="J4" s="103"/>
      <c r="K4" s="103"/>
      <c r="L4" s="103"/>
    </row>
    <row r="5" spans="2:12" ht="15.75">
      <c r="B5" s="103"/>
      <c r="C5" s="103"/>
      <c r="D5" s="243"/>
      <c r="E5" s="243"/>
      <c r="F5" s="243"/>
      <c r="G5" s="243"/>
      <c r="H5" s="243"/>
      <c r="I5" s="243"/>
      <c r="J5" s="103"/>
      <c r="K5" s="103"/>
      <c r="L5" s="103"/>
    </row>
    <row r="6" spans="2:12" ht="15.75">
      <c r="B6" s="245"/>
      <c r="C6" s="103"/>
      <c r="D6" s="243"/>
      <c r="E6" s="243"/>
      <c r="F6" s="243"/>
      <c r="G6" s="243"/>
      <c r="H6" s="243"/>
      <c r="I6" s="243"/>
      <c r="J6" s="103"/>
      <c r="K6" s="103"/>
      <c r="L6" s="103"/>
    </row>
    <row r="7" spans="2:12" ht="15.75">
      <c r="B7" s="245" t="s">
        <v>212</v>
      </c>
      <c r="C7" s="103"/>
      <c r="D7" s="10">
        <v>25000</v>
      </c>
      <c r="E7" s="243">
        <f>+D7</f>
        <v>25000</v>
      </c>
      <c r="F7" s="243"/>
      <c r="G7" s="243"/>
      <c r="H7" s="243">
        <f>+D7</f>
        <v>25000</v>
      </c>
      <c r="I7" s="243"/>
      <c r="J7" s="103"/>
      <c r="K7" s="103"/>
      <c r="L7" s="103"/>
    </row>
    <row r="8" spans="2:12" ht="15.75">
      <c r="B8" s="245" t="s">
        <v>213</v>
      </c>
      <c r="C8" s="103"/>
      <c r="D8" s="10">
        <v>20000</v>
      </c>
      <c r="E8" s="243"/>
      <c r="F8" s="243"/>
      <c r="G8" s="243"/>
      <c r="H8" s="243">
        <f>+D8</f>
        <v>20000</v>
      </c>
      <c r="I8" s="243"/>
      <c r="J8" s="247"/>
      <c r="K8" s="103"/>
      <c r="L8" s="103"/>
    </row>
    <row r="9" spans="2:12" ht="15.75">
      <c r="B9" s="103"/>
      <c r="C9" s="103"/>
      <c r="D9" s="243"/>
      <c r="E9" s="243"/>
      <c r="F9" s="243"/>
      <c r="G9" s="243"/>
      <c r="H9" s="243"/>
      <c r="I9" s="243"/>
      <c r="J9" s="103"/>
      <c r="K9" s="103"/>
      <c r="L9" s="103"/>
    </row>
    <row r="10" spans="2:12" ht="15.75">
      <c r="B10" s="245" t="s">
        <v>92</v>
      </c>
      <c r="C10" s="103"/>
      <c r="D10" s="243"/>
      <c r="E10" s="243"/>
      <c r="F10" s="243"/>
      <c r="G10" s="243"/>
      <c r="H10" s="243"/>
      <c r="I10" s="243"/>
      <c r="J10" s="103"/>
      <c r="K10" s="103"/>
      <c r="L10" s="103"/>
    </row>
    <row r="11" spans="2:12" ht="15.75">
      <c r="B11" s="245"/>
      <c r="C11" s="103"/>
      <c r="D11" s="243"/>
      <c r="E11" s="243"/>
      <c r="F11" s="243"/>
      <c r="G11" s="243"/>
      <c r="H11" s="243"/>
      <c r="I11" s="243"/>
      <c r="J11" s="103"/>
      <c r="K11" s="103"/>
      <c r="L11" s="103"/>
    </row>
    <row r="12" spans="2:12" ht="15.75">
      <c r="B12" s="245" t="s">
        <v>214</v>
      </c>
      <c r="C12" s="103"/>
      <c r="D12" s="10">
        <v>160000</v>
      </c>
      <c r="E12" s="243"/>
      <c r="F12" s="243"/>
      <c r="G12" s="243"/>
      <c r="H12" s="243"/>
      <c r="I12" s="243"/>
      <c r="J12" s="103"/>
      <c r="K12" s="103"/>
      <c r="L12" s="103"/>
    </row>
    <row r="13" spans="2:12" ht="15.75">
      <c r="B13" s="245" t="s">
        <v>215</v>
      </c>
      <c r="C13" s="103"/>
      <c r="D13" s="248">
        <v>175000</v>
      </c>
      <c r="E13" s="243"/>
      <c r="F13" s="243"/>
      <c r="G13" s="243"/>
      <c r="H13" s="243"/>
      <c r="I13" s="243"/>
      <c r="J13" s="103"/>
      <c r="K13" s="103"/>
      <c r="L13" s="103"/>
    </row>
    <row r="14" spans="2:12" ht="15.75">
      <c r="B14" s="245" t="s">
        <v>93</v>
      </c>
      <c r="C14" s="103"/>
      <c r="D14" s="243">
        <f>+D13-D12</f>
        <v>15000</v>
      </c>
      <c r="E14" s="243"/>
      <c r="F14" s="243"/>
      <c r="G14" s="243"/>
      <c r="H14" s="243"/>
      <c r="I14" s="243"/>
      <c r="J14" s="103"/>
      <c r="K14" s="103"/>
      <c r="L14" s="103"/>
    </row>
    <row r="15" spans="2:12" ht="15.75">
      <c r="B15" s="245" t="s">
        <v>94</v>
      </c>
      <c r="C15" s="249">
        <f>+D3</f>
        <v>300000</v>
      </c>
      <c r="D15" s="243"/>
      <c r="E15" s="243"/>
      <c r="F15" s="243"/>
      <c r="G15" s="243"/>
      <c r="H15" s="243"/>
      <c r="I15" s="243"/>
      <c r="J15" s="103"/>
      <c r="K15" s="103"/>
      <c r="L15" s="103"/>
    </row>
    <row r="16" spans="2:12" ht="15.75">
      <c r="B16" s="103"/>
      <c r="C16" s="250">
        <v>0.65</v>
      </c>
      <c r="D16" s="243"/>
      <c r="E16" s="243"/>
      <c r="F16" s="243"/>
      <c r="G16" s="243"/>
      <c r="H16" s="243"/>
      <c r="I16" s="243"/>
      <c r="J16" s="103"/>
      <c r="K16" s="103"/>
      <c r="L16" s="103"/>
    </row>
    <row r="17" spans="2:12" ht="15.75">
      <c r="B17" s="103"/>
      <c r="C17" s="103"/>
      <c r="D17" s="251">
        <f>+C16*C15</f>
        <v>195000</v>
      </c>
      <c r="E17" s="243"/>
      <c r="F17" s="243"/>
      <c r="G17" s="243"/>
      <c r="H17" s="243">
        <f>+D17</f>
        <v>195000</v>
      </c>
      <c r="I17" s="243"/>
      <c r="J17" s="103"/>
      <c r="K17" s="103"/>
      <c r="L17" s="103"/>
    </row>
    <row r="18" spans="2:12" ht="15.75">
      <c r="B18" s="245" t="s">
        <v>216</v>
      </c>
      <c r="C18" s="103"/>
      <c r="D18" s="243">
        <f>+D14+D17</f>
        <v>210000</v>
      </c>
      <c r="E18" s="243">
        <f>+D18</f>
        <v>210000</v>
      </c>
      <c r="F18" s="243"/>
      <c r="G18" s="243"/>
      <c r="H18" s="243"/>
      <c r="I18" s="243"/>
      <c r="J18" s="103"/>
      <c r="K18" s="103"/>
      <c r="L18" s="103"/>
    </row>
    <row r="19" spans="2:12" ht="15.75">
      <c r="B19" s="103"/>
      <c r="C19" s="103"/>
      <c r="D19" s="243"/>
      <c r="E19" s="243"/>
      <c r="F19" s="243"/>
      <c r="G19" s="243"/>
      <c r="H19" s="243"/>
      <c r="I19" s="243"/>
      <c r="J19" s="103"/>
      <c r="K19" s="103"/>
      <c r="L19" s="103"/>
    </row>
    <row r="20" spans="2:12" ht="15.75">
      <c r="B20" s="103" t="s">
        <v>98</v>
      </c>
      <c r="C20" s="103"/>
      <c r="D20" s="243"/>
      <c r="E20" s="251">
        <f>SUM(E3:E19)</f>
        <v>235000</v>
      </c>
      <c r="F20" s="251">
        <f>SUM(F3:F19)</f>
        <v>276500</v>
      </c>
      <c r="G20" s="243"/>
      <c r="H20" s="251">
        <f>SUM(H3:H19)</f>
        <v>240000</v>
      </c>
      <c r="I20" s="251">
        <f>SUM(I3:I19)</f>
        <v>300000</v>
      </c>
      <c r="J20" s="103"/>
      <c r="K20" s="103"/>
      <c r="L20" s="103"/>
    </row>
    <row r="21" spans="2:10" ht="15.75">
      <c r="B21" s="74" t="s">
        <v>99</v>
      </c>
      <c r="D21" s="2"/>
      <c r="E21" s="2"/>
      <c r="F21" s="10">
        <f>+F20-E20</f>
        <v>41500</v>
      </c>
      <c r="G21" s="2"/>
      <c r="H21" s="2"/>
      <c r="I21" s="36">
        <f>+I20-H20</f>
        <v>60000</v>
      </c>
      <c r="J21" s="247"/>
    </row>
    <row r="22" spans="2:10" ht="15.75">
      <c r="B22" s="205" t="s">
        <v>217</v>
      </c>
      <c r="D22" s="2"/>
      <c r="E22" s="2"/>
      <c r="F22" s="248">
        <v>12000</v>
      </c>
      <c r="G22" s="2"/>
      <c r="H22" s="2"/>
      <c r="I22" s="2"/>
      <c r="J22" s="103"/>
    </row>
    <row r="23" spans="2:10" ht="15.75">
      <c r="B23" s="205" t="s">
        <v>218</v>
      </c>
      <c r="C23" s="206"/>
      <c r="D23" s="2"/>
      <c r="E23" s="2"/>
      <c r="F23" s="36">
        <f>+F21+F22</f>
        <v>53500</v>
      </c>
      <c r="G23" s="2"/>
      <c r="H23" s="2"/>
      <c r="I23" s="2"/>
      <c r="J23" s="103"/>
    </row>
    <row r="24" spans="3:10" ht="15.75">
      <c r="C24" s="206"/>
      <c r="F24" s="92"/>
      <c r="J24" s="103"/>
    </row>
    <row r="25" spans="3:6" ht="15.75">
      <c r="C25" s="206"/>
      <c r="E25" s="103"/>
      <c r="F25" s="247"/>
    </row>
    <row r="26" spans="3:6" ht="15.75">
      <c r="C26" s="206"/>
      <c r="E26" s="103"/>
      <c r="F26" s="247"/>
    </row>
    <row r="27" spans="5:6" ht="15.75">
      <c r="E27" s="103"/>
      <c r="F27" s="207"/>
    </row>
    <row r="28" ht="15.75">
      <c r="F28" s="20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Crom</dc:creator>
  <cp:keywords/>
  <dc:description/>
  <cp:lastModifiedBy>Board</cp:lastModifiedBy>
  <cp:lastPrinted>2018-01-08T07:38:05Z</cp:lastPrinted>
  <dcterms:created xsi:type="dcterms:W3CDTF">2013-09-24T08:58:03Z</dcterms:created>
  <dcterms:modified xsi:type="dcterms:W3CDTF">2020-06-29T15:12:59Z</dcterms:modified>
  <cp:category/>
  <cp:version/>
  <cp:contentType/>
  <cp:contentStatus/>
</cp:coreProperties>
</file>